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workbookProtection workbookAlgorithmName="SHA-512" workbookHashValue="XnwHzT8VFKcfgB3UK6XeO+0zBrf8fpsppG6ZYIhK/GaS71jFDVQ8PXVhRT6Fg7p/rbRwNHeSnuZah5is60yZhQ==" workbookSaltValue="nejLGtwZoLIFb3gFWmNZOQ==" workbookSpinCount="100000" lockStructure="1"/>
  <bookViews>
    <workbookView xWindow="0" yWindow="0" windowWidth="20490" windowHeight="6855" tabRatio="899"/>
  </bookViews>
  <sheets>
    <sheet name="1-Method_Liqudity" sheetId="15" r:id="rId1"/>
    <sheet name="2-Input - IIFS Liqudity" sheetId="7" r:id="rId2"/>
    <sheet name="3-Assumptions" sheetId="11" r:id="rId3"/>
    <sheet name="4- ICFA &amp; LCR &amp; MMA &amp; NSFR" sheetId="9" r:id="rId4"/>
    <sheet name="5-Calculation" sheetId="13" r:id="rId5"/>
    <sheet name="6-Summary" sheetId="12" r:id="rId6"/>
  </sheets>
  <externalReferences>
    <externalReference r:id="rId7"/>
    <externalReference r:id="rId8"/>
    <externalReference r:id="rId9"/>
  </externalReferences>
  <definedNames>
    <definedName name="_xlnm._FilterDatabase" localSheetId="1" hidden="1">'2-Input - IIFS Liqudity'!$A$1:$M$209</definedName>
    <definedName name="Dropdown_Boolean" localSheetId="0">[1]Variables!$C$40:$D$40</definedName>
    <definedName name="Dropdown_Boolean" localSheetId="2">[2]Variables!$C$40:$D$40</definedName>
    <definedName name="Dropdown_Boolean" localSheetId="3">[2]Variables!$C$40:$D$40</definedName>
    <definedName name="Dropdown_Boolean" localSheetId="4">[2]Variables!$C$40:$D$40</definedName>
    <definedName name="Dropdown_Boolean" localSheetId="5">[2]Variables!$C$40:$D$40</definedName>
    <definedName name="Dropdown_Boolean">'[3]3-Variables'!$C$40:$D$40</definedName>
    <definedName name="_xlnm.Print_Area" localSheetId="0">'1-Method_Liqudity'!$A$3:$F$17</definedName>
    <definedName name="_xlnm.Print_Area" localSheetId="1">'2-Input - IIFS Liqudity'!$A$2:$M$313</definedName>
    <definedName name="_xlnm.Print_Area" localSheetId="2">'3-Assumptions'!$A$2:$I$219</definedName>
    <definedName name="_xlnm.Print_Area" localSheetId="3">'4- ICFA &amp; LCR &amp; MMA &amp; NSFR'!$A$2:$H$142</definedName>
    <definedName name="_xlnm.Print_Area" localSheetId="4">'5-Calculation'!$A$2:$I$231</definedName>
    <definedName name="_xlnm.Print_Area" localSheetId="5">'6-Summary'!$C$2:$J$64</definedName>
  </definedNames>
  <calcPr calcId="152511"/>
</workbook>
</file>

<file path=xl/calcChain.xml><?xml version="1.0" encoding="utf-8"?>
<calcChain xmlns="http://schemas.openxmlformats.org/spreadsheetml/2006/main">
  <c r="A118" i="13" l="1"/>
  <c r="A117" i="13"/>
  <c r="A108" i="13"/>
  <c r="A105" i="13"/>
  <c r="D18" i="12" l="1"/>
  <c r="A93" i="13" l="1"/>
  <c r="A90" i="13"/>
  <c r="M52" i="7"/>
  <c r="L52" i="7"/>
  <c r="K52" i="7"/>
  <c r="J52" i="7"/>
  <c r="I52" i="7"/>
  <c r="A97" i="11"/>
  <c r="A96" i="11"/>
  <c r="A95" i="11"/>
  <c r="A94" i="11"/>
  <c r="A93" i="11"/>
  <c r="A92" i="11"/>
  <c r="A91" i="11"/>
  <c r="A90" i="11"/>
  <c r="A89" i="11"/>
  <c r="A88" i="11"/>
  <c r="A87" i="11"/>
  <c r="A86" i="11"/>
  <c r="A85" i="11"/>
  <c r="D52" i="12"/>
  <c r="D51" i="12"/>
  <c r="D50" i="12"/>
  <c r="D49" i="12"/>
  <c r="D48" i="12"/>
  <c r="G16" i="13"/>
  <c r="F16" i="13"/>
  <c r="E16" i="13"/>
  <c r="D16" i="13"/>
  <c r="C16" i="13"/>
  <c r="I101" i="13"/>
  <c r="D71" i="13"/>
  <c r="E71" i="13"/>
  <c r="F71" i="13"/>
  <c r="C71" i="13"/>
  <c r="G71" i="13"/>
  <c r="B112" i="13"/>
  <c r="C60" i="13"/>
  <c r="D13" i="9"/>
  <c r="D134" i="9"/>
  <c r="B81" i="13"/>
  <c r="A81" i="13"/>
  <c r="A70" i="13"/>
  <c r="C134" i="13"/>
  <c r="C135" i="13"/>
  <c r="B229" i="13"/>
  <c r="C231" i="13"/>
  <c r="C230" i="13"/>
  <c r="C229" i="13"/>
  <c r="G273" i="7"/>
  <c r="I273" i="7"/>
  <c r="I90" i="7"/>
  <c r="M64" i="7"/>
  <c r="M63" i="7"/>
  <c r="G52" i="7"/>
  <c r="M39" i="7"/>
  <c r="M40" i="7"/>
  <c r="I63" i="7"/>
  <c r="G59" i="7"/>
  <c r="G45" i="7"/>
  <c r="G44" i="7"/>
  <c r="G43" i="7"/>
  <c r="G42" i="7"/>
  <c r="G41" i="7"/>
  <c r="G40" i="7"/>
  <c r="G39" i="7"/>
  <c r="G29" i="7"/>
  <c r="G25" i="7"/>
  <c r="G24" i="7"/>
  <c r="G18" i="7"/>
  <c r="I17" i="7"/>
  <c r="J17" i="7"/>
  <c r="K17" i="7"/>
  <c r="G15" i="7"/>
  <c r="D219" i="11"/>
  <c r="D218" i="11"/>
  <c r="D217" i="11"/>
  <c r="D216" i="11"/>
  <c r="D215" i="11"/>
  <c r="D214" i="11"/>
  <c r="D213" i="11"/>
  <c r="D212" i="11"/>
  <c r="D211" i="11"/>
  <c r="D210" i="11"/>
  <c r="I207" i="11"/>
  <c r="D207" i="11"/>
  <c r="I206" i="11"/>
  <c r="D206" i="11"/>
  <c r="I205" i="11"/>
  <c r="D205" i="11"/>
  <c r="I204" i="11"/>
  <c r="D204" i="11"/>
  <c r="I203" i="11"/>
  <c r="D203" i="11"/>
  <c r="I202" i="11"/>
  <c r="D202" i="11"/>
  <c r="I201" i="11"/>
  <c r="D201" i="11"/>
  <c r="I200" i="11"/>
  <c r="D200" i="11"/>
  <c r="I199" i="11"/>
  <c r="D199" i="11"/>
  <c r="I198" i="11"/>
  <c r="D198" i="11"/>
  <c r="I195" i="11"/>
  <c r="D195" i="11"/>
  <c r="I194" i="11"/>
  <c r="D194" i="11"/>
  <c r="I193" i="11"/>
  <c r="D193" i="11"/>
  <c r="I192" i="11"/>
  <c r="D192" i="11"/>
  <c r="I191" i="11"/>
  <c r="D191" i="11"/>
  <c r="I190" i="11"/>
  <c r="D190" i="11"/>
  <c r="I189" i="11"/>
  <c r="D189" i="11"/>
  <c r="I188" i="11"/>
  <c r="D188" i="11"/>
  <c r="I187" i="11"/>
  <c r="D187" i="11"/>
  <c r="I186" i="11"/>
  <c r="D186" i="11"/>
  <c r="I183" i="11"/>
  <c r="D183" i="11"/>
  <c r="I182" i="11"/>
  <c r="D182" i="11"/>
  <c r="I181" i="11"/>
  <c r="D181" i="11"/>
  <c r="I180" i="11"/>
  <c r="D180" i="11"/>
  <c r="I179" i="11"/>
  <c r="D179" i="11"/>
  <c r="I178" i="11"/>
  <c r="D178" i="11"/>
  <c r="I177" i="11"/>
  <c r="D177" i="11"/>
  <c r="I176" i="11"/>
  <c r="D176" i="11"/>
  <c r="I175" i="11"/>
  <c r="D175" i="11"/>
  <c r="I174" i="11"/>
  <c r="D174" i="11"/>
  <c r="I169" i="11"/>
  <c r="D169" i="11"/>
  <c r="I168" i="11"/>
  <c r="D168" i="11"/>
  <c r="I167" i="11"/>
  <c r="D167" i="11"/>
  <c r="I166" i="11"/>
  <c r="D166" i="11"/>
  <c r="I165" i="11"/>
  <c r="D165" i="11"/>
  <c r="I164" i="11"/>
  <c r="D164" i="11"/>
  <c r="I163" i="11"/>
  <c r="D163" i="11"/>
  <c r="I162" i="11"/>
  <c r="D162" i="11"/>
  <c r="I161" i="11"/>
  <c r="D161" i="11"/>
  <c r="I160" i="11"/>
  <c r="D160" i="11"/>
  <c r="A216" i="13"/>
  <c r="A217" i="13"/>
  <c r="A230" i="13"/>
  <c r="A218" i="13"/>
  <c r="A231" i="13"/>
  <c r="A215" i="13"/>
  <c r="A229" i="13"/>
  <c r="A228" i="13"/>
  <c r="G228" i="13"/>
  <c r="B223" i="13"/>
  <c r="B222" i="13"/>
  <c r="F229" i="13"/>
  <c r="F228" i="13"/>
  <c r="B217" i="13"/>
  <c r="F231" i="13"/>
  <c r="D231" i="13"/>
  <c r="B219" i="13"/>
  <c r="F232" i="13"/>
  <c r="B220" i="13"/>
  <c r="B221" i="13"/>
  <c r="B216" i="13"/>
  <c r="B218" i="13"/>
  <c r="B224" i="13"/>
  <c r="D228" i="13"/>
  <c r="C232" i="13"/>
  <c r="E232" i="13"/>
  <c r="E231" i="13"/>
  <c r="E229" i="13"/>
  <c r="B215" i="13"/>
  <c r="F230" i="13"/>
  <c r="C228" i="13"/>
  <c r="G232" i="13"/>
  <c r="G229" i="13"/>
  <c r="G231" i="13"/>
  <c r="E230" i="13"/>
  <c r="D232" i="13"/>
  <c r="D230" i="13"/>
  <c r="E228" i="13"/>
  <c r="D229" i="13"/>
  <c r="G230" i="13"/>
  <c r="B230" i="13"/>
  <c r="B237" i="13"/>
  <c r="B235" i="13"/>
  <c r="B231" i="13"/>
  <c r="B232" i="13"/>
  <c r="B228" i="13"/>
  <c r="B233" i="13"/>
  <c r="B236" i="13"/>
  <c r="B234" i="13"/>
  <c r="D237" i="7"/>
  <c r="D277" i="7"/>
  <c r="D276" i="7"/>
  <c r="D275" i="7"/>
  <c r="D274" i="7"/>
  <c r="D226" i="7"/>
  <c r="D227" i="7"/>
  <c r="D228" i="7"/>
  <c r="D225" i="7"/>
  <c r="J209" i="7"/>
  <c r="K209" i="7"/>
  <c r="L209" i="7"/>
  <c r="M209" i="7"/>
  <c r="I209" i="7"/>
  <c r="G313" i="7"/>
  <c r="G312" i="7"/>
  <c r="G311" i="7"/>
  <c r="G310" i="7"/>
  <c r="G309" i="7"/>
  <c r="G307" i="7"/>
  <c r="G306" i="7"/>
  <c r="G305" i="7"/>
  <c r="G304" i="7"/>
  <c r="G303" i="7"/>
  <c r="G302" i="7"/>
  <c r="G301" i="7"/>
  <c r="G300" i="7"/>
  <c r="G299" i="7"/>
  <c r="G298" i="7"/>
  <c r="G297" i="7"/>
  <c r="G295" i="7"/>
  <c r="G294" i="7"/>
  <c r="G293" i="7"/>
  <c r="G292" i="7"/>
  <c r="G291" i="7"/>
  <c r="G290" i="7"/>
  <c r="G289" i="7"/>
  <c r="G288" i="7"/>
  <c r="G287" i="7"/>
  <c r="G286" i="7"/>
  <c r="M285" i="7"/>
  <c r="L285" i="7"/>
  <c r="K285" i="7"/>
  <c r="J285" i="7"/>
  <c r="G285" i="7"/>
  <c r="I285" i="7"/>
  <c r="G283" i="7"/>
  <c r="G282" i="7"/>
  <c r="G281" i="7"/>
  <c r="G280" i="7"/>
  <c r="G279" i="7"/>
  <c r="G278" i="7"/>
  <c r="G277" i="7"/>
  <c r="G276" i="7"/>
  <c r="D312" i="7"/>
  <c r="G275" i="7"/>
  <c r="G274" i="7"/>
  <c r="D310" i="7"/>
  <c r="M273" i="7"/>
  <c r="L273" i="7"/>
  <c r="K273" i="7"/>
  <c r="J273" i="7"/>
  <c r="G270" i="7"/>
  <c r="G269" i="7"/>
  <c r="G268" i="7"/>
  <c r="G267" i="7"/>
  <c r="G266" i="7"/>
  <c r="G265" i="7"/>
  <c r="G264" i="7"/>
  <c r="G263" i="7"/>
  <c r="G262" i="7"/>
  <c r="G261" i="7"/>
  <c r="G260" i="7"/>
  <c r="G258" i="7"/>
  <c r="G257" i="7"/>
  <c r="G256" i="7"/>
  <c r="G255" i="7"/>
  <c r="G254" i="7"/>
  <c r="G253" i="7"/>
  <c r="G252" i="7"/>
  <c r="G251" i="7"/>
  <c r="G250" i="7"/>
  <c r="G249" i="7"/>
  <c r="G248" i="7"/>
  <c r="G246" i="7"/>
  <c r="G245" i="7"/>
  <c r="G244" i="7"/>
  <c r="G243" i="7"/>
  <c r="G242" i="7"/>
  <c r="G241" i="7"/>
  <c r="G240" i="7"/>
  <c r="G239" i="7"/>
  <c r="G238" i="7"/>
  <c r="G237" i="7"/>
  <c r="M236" i="7"/>
  <c r="L236" i="7"/>
  <c r="K236" i="7"/>
  <c r="J236" i="7"/>
  <c r="I236" i="7"/>
  <c r="G236" i="7"/>
  <c r="G234" i="7"/>
  <c r="G233" i="7"/>
  <c r="G232" i="7"/>
  <c r="G231" i="7"/>
  <c r="G230" i="7"/>
  <c r="G229" i="7"/>
  <c r="G228" i="7"/>
  <c r="G227" i="7"/>
  <c r="D239" i="7"/>
  <c r="G226" i="7"/>
  <c r="G225" i="7"/>
  <c r="M224" i="7"/>
  <c r="L224" i="7"/>
  <c r="K224" i="7"/>
  <c r="J224" i="7"/>
  <c r="G224" i="7"/>
  <c r="I224" i="7"/>
  <c r="G222" i="7"/>
  <c r="G221" i="7"/>
  <c r="G220" i="7"/>
  <c r="G219" i="7"/>
  <c r="G218" i="7"/>
  <c r="G217" i="7"/>
  <c r="G216" i="7"/>
  <c r="G215" i="7"/>
  <c r="G214" i="7"/>
  <c r="G213" i="7"/>
  <c r="M212" i="7"/>
  <c r="L212" i="7"/>
  <c r="K212" i="7"/>
  <c r="J212" i="7"/>
  <c r="G212" i="7"/>
  <c r="I212" i="7"/>
  <c r="D302" i="7"/>
  <c r="D251" i="7"/>
  <c r="D263" i="7"/>
  <c r="D300" i="7"/>
  <c r="D249" i="7"/>
  <c r="D261" i="7"/>
  <c r="D298" i="7"/>
  <c r="D306" i="7"/>
  <c r="D304" i="7"/>
  <c r="D287" i="7"/>
  <c r="D238" i="7"/>
  <c r="D289" i="7"/>
  <c r="D240" i="7"/>
  <c r="D286" i="7"/>
  <c r="D288" i="7"/>
  <c r="D311" i="7"/>
  <c r="D313" i="7"/>
  <c r="D301" i="7"/>
  <c r="D252" i="7"/>
  <c r="D264" i="7"/>
  <c r="D307" i="7"/>
  <c r="D303" i="7"/>
  <c r="D299" i="7"/>
  <c r="D250" i="7"/>
  <c r="D262" i="7"/>
  <c r="D305" i="7"/>
  <c r="I93" i="13"/>
  <c r="I90" i="13"/>
  <c r="B93" i="13"/>
  <c r="B90" i="13"/>
  <c r="I77" i="13"/>
  <c r="D6" i="12"/>
  <c r="H123" i="9"/>
  <c r="G123" i="9"/>
  <c r="F123" i="9"/>
  <c r="E123" i="9"/>
  <c r="D123" i="9"/>
  <c r="D118" i="9"/>
  <c r="H122" i="9"/>
  <c r="G122" i="9"/>
  <c r="F122" i="9"/>
  <c r="E122" i="9"/>
  <c r="D122" i="9"/>
  <c r="H109" i="9"/>
  <c r="G109" i="9"/>
  <c r="F109" i="9"/>
  <c r="E109" i="9"/>
  <c r="D109" i="9"/>
  <c r="H105" i="9"/>
  <c r="G105" i="9"/>
  <c r="F105" i="9"/>
  <c r="E105" i="9"/>
  <c r="D105" i="9"/>
  <c r="I125" i="13"/>
  <c r="I123" i="13"/>
  <c r="D70" i="13"/>
  <c r="I118" i="13"/>
  <c r="I117" i="13"/>
  <c r="I114" i="13"/>
  <c r="D68" i="13"/>
  <c r="I112" i="13"/>
  <c r="G67" i="13"/>
  <c r="I108" i="13"/>
  <c r="I105" i="13"/>
  <c r="E96" i="9"/>
  <c r="F96" i="9"/>
  <c r="G96" i="9"/>
  <c r="H96" i="9"/>
  <c r="B71" i="13"/>
  <c r="D96" i="9"/>
  <c r="A71" i="13"/>
  <c r="A79" i="9"/>
  <c r="A65" i="9"/>
  <c r="A74" i="9"/>
  <c r="A60" i="9"/>
  <c r="A46" i="9"/>
  <c r="A32" i="9"/>
  <c r="C201" i="13"/>
  <c r="D201" i="13"/>
  <c r="E201" i="13"/>
  <c r="F201" i="13"/>
  <c r="G201" i="13"/>
  <c r="D202" i="13"/>
  <c r="E202" i="13"/>
  <c r="F202" i="13"/>
  <c r="G202" i="13"/>
  <c r="D203" i="13"/>
  <c r="E203" i="13"/>
  <c r="F203" i="13"/>
  <c r="G203" i="13"/>
  <c r="D204" i="13"/>
  <c r="E204" i="13"/>
  <c r="F204" i="13"/>
  <c r="G204" i="13"/>
  <c r="D205" i="13"/>
  <c r="E205" i="13"/>
  <c r="F205" i="13"/>
  <c r="G205" i="13"/>
  <c r="D206" i="13"/>
  <c r="E206" i="13"/>
  <c r="F206" i="13"/>
  <c r="G206" i="13"/>
  <c r="D207" i="13"/>
  <c r="E207" i="13"/>
  <c r="F207" i="13"/>
  <c r="G207" i="13"/>
  <c r="D208" i="13"/>
  <c r="E208" i="13"/>
  <c r="F208" i="13"/>
  <c r="G208" i="13"/>
  <c r="C202" i="13"/>
  <c r="C203" i="13"/>
  <c r="C204" i="13"/>
  <c r="C205" i="13"/>
  <c r="C206" i="13"/>
  <c r="C207" i="13"/>
  <c r="C208" i="13"/>
  <c r="D193" i="13"/>
  <c r="E193" i="13"/>
  <c r="F193" i="13"/>
  <c r="G193" i="13"/>
  <c r="D194" i="13"/>
  <c r="E194" i="13"/>
  <c r="F194" i="13"/>
  <c r="G194" i="13"/>
  <c r="D195" i="13"/>
  <c r="E195" i="13"/>
  <c r="F195" i="13"/>
  <c r="G195" i="13"/>
  <c r="D196" i="13"/>
  <c r="E196" i="13"/>
  <c r="F196" i="13"/>
  <c r="G196" i="13"/>
  <c r="D197" i="13"/>
  <c r="E197" i="13"/>
  <c r="F197" i="13"/>
  <c r="G197" i="13"/>
  <c r="C194" i="13"/>
  <c r="C195" i="13"/>
  <c r="C196" i="13"/>
  <c r="C197" i="13"/>
  <c r="C193" i="13"/>
  <c r="D174" i="13"/>
  <c r="E174" i="13"/>
  <c r="F174" i="13"/>
  <c r="G174" i="13"/>
  <c r="D175" i="13"/>
  <c r="E175" i="13"/>
  <c r="F175" i="13"/>
  <c r="G175" i="13"/>
  <c r="D176" i="13"/>
  <c r="E176" i="13"/>
  <c r="F176" i="13"/>
  <c r="G176" i="13"/>
  <c r="D177" i="13"/>
  <c r="E177" i="13"/>
  <c r="F177" i="13"/>
  <c r="G177" i="13"/>
  <c r="D178" i="13"/>
  <c r="E178" i="13"/>
  <c r="F178" i="13"/>
  <c r="G178" i="13"/>
  <c r="D179" i="13"/>
  <c r="E179" i="13"/>
  <c r="F179" i="13"/>
  <c r="G179" i="13"/>
  <c r="D180" i="13"/>
  <c r="E180" i="13"/>
  <c r="F180" i="13"/>
  <c r="G180" i="13"/>
  <c r="D181" i="13"/>
  <c r="E181" i="13"/>
  <c r="F181" i="13"/>
  <c r="G181" i="13"/>
  <c r="D182" i="13"/>
  <c r="E182" i="13"/>
  <c r="F182" i="13"/>
  <c r="G182" i="13"/>
  <c r="D183" i="13"/>
  <c r="E183" i="13"/>
  <c r="F183" i="13"/>
  <c r="G183" i="13"/>
  <c r="D184" i="13"/>
  <c r="E184" i="13"/>
  <c r="F184" i="13"/>
  <c r="G184" i="13"/>
  <c r="D185" i="13"/>
  <c r="E185" i="13"/>
  <c r="F185" i="13"/>
  <c r="G185" i="13"/>
  <c r="D186" i="13"/>
  <c r="E186" i="13"/>
  <c r="F186" i="13"/>
  <c r="G186" i="13"/>
  <c r="D187" i="13"/>
  <c r="E187" i="13"/>
  <c r="F187" i="13"/>
  <c r="G187" i="13"/>
  <c r="C175" i="13"/>
  <c r="C176" i="13"/>
  <c r="C177" i="13"/>
  <c r="C178" i="13"/>
  <c r="C179" i="13"/>
  <c r="C180" i="13"/>
  <c r="C181" i="13"/>
  <c r="C182" i="13"/>
  <c r="C183" i="13"/>
  <c r="C184" i="13"/>
  <c r="C185" i="13"/>
  <c r="C186" i="13"/>
  <c r="C187" i="13"/>
  <c r="A187" i="13"/>
  <c r="A175" i="13"/>
  <c r="A176" i="13"/>
  <c r="A177" i="13"/>
  <c r="A178" i="13"/>
  <c r="A179" i="13"/>
  <c r="A180" i="13"/>
  <c r="A181" i="13"/>
  <c r="A182" i="13"/>
  <c r="A183" i="13"/>
  <c r="A184" i="13"/>
  <c r="A185" i="13"/>
  <c r="A186" i="13"/>
  <c r="A174" i="13"/>
  <c r="C174" i="13"/>
  <c r="D167" i="13"/>
  <c r="E167" i="13"/>
  <c r="F167" i="13"/>
  <c r="G167" i="13"/>
  <c r="D168" i="13"/>
  <c r="E168" i="13"/>
  <c r="F168" i="13"/>
  <c r="G168" i="13"/>
  <c r="D169" i="13"/>
  <c r="E169" i="13"/>
  <c r="F169" i="13"/>
  <c r="G169" i="13"/>
  <c r="D170" i="13"/>
  <c r="E170" i="13"/>
  <c r="F170" i="13"/>
  <c r="G170" i="13"/>
  <c r="D171" i="13"/>
  <c r="E171" i="13"/>
  <c r="F171" i="13"/>
  <c r="G171" i="13"/>
  <c r="D172" i="13"/>
  <c r="E172" i="13"/>
  <c r="F172" i="13"/>
  <c r="G172" i="13"/>
  <c r="C168" i="13"/>
  <c r="C169" i="13"/>
  <c r="C170" i="13"/>
  <c r="C171" i="13"/>
  <c r="C172" i="13"/>
  <c r="C167" i="13"/>
  <c r="D160" i="13"/>
  <c r="E160" i="13"/>
  <c r="F160" i="13"/>
  <c r="G160" i="13"/>
  <c r="D161" i="13"/>
  <c r="E161" i="13"/>
  <c r="F161" i="13"/>
  <c r="G161" i="13"/>
  <c r="D162" i="13"/>
  <c r="E162" i="13"/>
  <c r="F162" i="13"/>
  <c r="G162" i="13"/>
  <c r="D163" i="13"/>
  <c r="E163" i="13"/>
  <c r="F163" i="13"/>
  <c r="G163" i="13"/>
  <c r="D164" i="13"/>
  <c r="E164" i="13"/>
  <c r="F164" i="13"/>
  <c r="G164" i="13"/>
  <c r="D165" i="13"/>
  <c r="E165" i="13"/>
  <c r="F165" i="13"/>
  <c r="G165" i="13"/>
  <c r="C160" i="13"/>
  <c r="C161" i="13"/>
  <c r="C162" i="13"/>
  <c r="C163" i="13"/>
  <c r="C164" i="13"/>
  <c r="C165" i="13"/>
  <c r="D152" i="13"/>
  <c r="E152" i="13"/>
  <c r="F152" i="13"/>
  <c r="G152" i="13"/>
  <c r="D153" i="13"/>
  <c r="E153" i="13"/>
  <c r="F153" i="13"/>
  <c r="G153" i="13"/>
  <c r="D154" i="13"/>
  <c r="E154" i="13"/>
  <c r="F154" i="13"/>
  <c r="G154" i="13"/>
  <c r="D155" i="13"/>
  <c r="E155" i="13"/>
  <c r="F155" i="13"/>
  <c r="G155" i="13"/>
  <c r="C153" i="13"/>
  <c r="C154" i="13"/>
  <c r="C155" i="13"/>
  <c r="C152" i="13"/>
  <c r="D151" i="13"/>
  <c r="D150" i="13"/>
  <c r="E114" i="9"/>
  <c r="E151" i="13"/>
  <c r="E150" i="13"/>
  <c r="F114" i="9"/>
  <c r="D144" i="13"/>
  <c r="E144" i="13"/>
  <c r="F144" i="13"/>
  <c r="G144" i="13"/>
  <c r="D145" i="13"/>
  <c r="E145" i="13"/>
  <c r="F145" i="13"/>
  <c r="G145" i="13"/>
  <c r="D146" i="13"/>
  <c r="E146" i="13"/>
  <c r="F146" i="13"/>
  <c r="G146" i="13"/>
  <c r="C145" i="13"/>
  <c r="C146" i="13"/>
  <c r="C144" i="13"/>
  <c r="D141" i="13"/>
  <c r="E141" i="13"/>
  <c r="F141" i="13"/>
  <c r="G141" i="13"/>
  <c r="D142" i="13"/>
  <c r="E142" i="13"/>
  <c r="F142" i="13"/>
  <c r="G142" i="13"/>
  <c r="C142" i="13"/>
  <c r="C141" i="13"/>
  <c r="D134" i="13"/>
  <c r="E134" i="13"/>
  <c r="F134" i="13"/>
  <c r="G134" i="13"/>
  <c r="D135" i="13"/>
  <c r="E135" i="13"/>
  <c r="F135" i="13"/>
  <c r="G135" i="13"/>
  <c r="D136" i="13"/>
  <c r="E136" i="13"/>
  <c r="F136" i="13"/>
  <c r="G136" i="13"/>
  <c r="D137" i="13"/>
  <c r="E137" i="13"/>
  <c r="F137" i="13"/>
  <c r="G137" i="13"/>
  <c r="D138" i="13"/>
  <c r="E138" i="13"/>
  <c r="F138" i="13"/>
  <c r="G138" i="13"/>
  <c r="C136" i="13"/>
  <c r="C137" i="13"/>
  <c r="C138" i="13"/>
  <c r="B125" i="13"/>
  <c r="D22" i="9"/>
  <c r="B123" i="13"/>
  <c r="B118" i="13"/>
  <c r="B117" i="13"/>
  <c r="G79" i="7"/>
  <c r="G78" i="7"/>
  <c r="G77" i="7"/>
  <c r="B114" i="13"/>
  <c r="C13" i="13"/>
  <c r="B108" i="13"/>
  <c r="B105" i="13"/>
  <c r="A101" i="13"/>
  <c r="A89" i="13"/>
  <c r="B78" i="13"/>
  <c r="C78" i="13"/>
  <c r="B109" i="9"/>
  <c r="G151" i="13"/>
  <c r="G150" i="13"/>
  <c r="H114" i="9"/>
  <c r="G200" i="13"/>
  <c r="H138" i="9"/>
  <c r="F151" i="13"/>
  <c r="F150" i="13"/>
  <c r="G114" i="9"/>
  <c r="E22" i="9"/>
  <c r="F22" i="9"/>
  <c r="H22" i="9"/>
  <c r="G22" i="9"/>
  <c r="C15" i="13"/>
  <c r="C133" i="13"/>
  <c r="D107" i="9"/>
  <c r="C192" i="13"/>
  <c r="D136" i="9"/>
  <c r="C101" i="13"/>
  <c r="F68" i="13"/>
  <c r="E68" i="13"/>
  <c r="E70" i="13"/>
  <c r="D67" i="13"/>
  <c r="C54" i="13"/>
  <c r="C68" i="13"/>
  <c r="G68" i="13"/>
  <c r="F70" i="13"/>
  <c r="C70" i="13"/>
  <c r="G70" i="13"/>
  <c r="I116" i="13"/>
  <c r="B181" i="13"/>
  <c r="D192" i="13"/>
  <c r="E136" i="9"/>
  <c r="F192" i="13"/>
  <c r="G136" i="9"/>
  <c r="E67" i="13"/>
  <c r="F67" i="13"/>
  <c r="C67" i="13"/>
  <c r="D173" i="13"/>
  <c r="E117" i="9"/>
  <c r="B201" i="13"/>
  <c r="F173" i="13"/>
  <c r="G117" i="9"/>
  <c r="B184" i="13"/>
  <c r="B180" i="13"/>
  <c r="B187" i="13"/>
  <c r="B185" i="13"/>
  <c r="B183" i="13"/>
  <c r="B179" i="13"/>
  <c r="B177" i="13"/>
  <c r="E173" i="13"/>
  <c r="F117" i="9"/>
  <c r="C173" i="13"/>
  <c r="D117" i="9"/>
  <c r="B186" i="13"/>
  <c r="B182" i="13"/>
  <c r="B178" i="13"/>
  <c r="G173" i="13"/>
  <c r="H117" i="9"/>
  <c r="F200" i="13"/>
  <c r="G138" i="9"/>
  <c r="E192" i="13"/>
  <c r="F136" i="9"/>
  <c r="D200" i="13"/>
  <c r="E138" i="9"/>
  <c r="G192" i="13"/>
  <c r="H136" i="9"/>
  <c r="C200" i="13"/>
  <c r="D138" i="9"/>
  <c r="E200" i="13"/>
  <c r="F138" i="9"/>
  <c r="E143" i="13"/>
  <c r="E140" i="13"/>
  <c r="D166" i="13"/>
  <c r="E116" i="9"/>
  <c r="E166" i="13"/>
  <c r="F116" i="9"/>
  <c r="C140" i="13"/>
  <c r="C143" i="13"/>
  <c r="C166" i="13"/>
  <c r="D116" i="9"/>
  <c r="G166" i="13"/>
  <c r="H116" i="9"/>
  <c r="F166" i="13"/>
  <c r="G116" i="9"/>
  <c r="F133" i="13"/>
  <c r="G107" i="9"/>
  <c r="D140" i="13"/>
  <c r="D143" i="13"/>
  <c r="E133" i="13"/>
  <c r="F107" i="9"/>
  <c r="G140" i="13"/>
  <c r="G143" i="13"/>
  <c r="D133" i="13"/>
  <c r="E107" i="9"/>
  <c r="F140" i="13"/>
  <c r="F143" i="13"/>
  <c r="G133" i="13"/>
  <c r="H107" i="9"/>
  <c r="B116" i="13"/>
  <c r="C151" i="13"/>
  <c r="C150" i="13"/>
  <c r="D114" i="9"/>
  <c r="B135" i="13"/>
  <c r="B134" i="13"/>
  <c r="D140" i="9"/>
  <c r="D101" i="13"/>
  <c r="D27" i="13"/>
  <c r="G27" i="13"/>
  <c r="C27" i="13"/>
  <c r="F27" i="13"/>
  <c r="E27" i="13"/>
  <c r="E101" i="13"/>
  <c r="B70" i="13"/>
  <c r="B67" i="13"/>
  <c r="G140" i="9"/>
  <c r="B200" i="13"/>
  <c r="E139" i="13"/>
  <c r="F108" i="9"/>
  <c r="F110" i="9"/>
  <c r="B192" i="13"/>
  <c r="B150" i="13"/>
  <c r="D139" i="13"/>
  <c r="E108" i="9"/>
  <c r="E110" i="9"/>
  <c r="C139" i="13"/>
  <c r="D108" i="9"/>
  <c r="D110" i="9"/>
  <c r="F139" i="13"/>
  <c r="G139" i="13"/>
  <c r="D132" i="13"/>
  <c r="E32" i="9"/>
  <c r="E37" i="9"/>
  <c r="G32" i="9"/>
  <c r="G37" i="9"/>
  <c r="H32" i="9"/>
  <c r="H37" i="9"/>
  <c r="F32" i="9"/>
  <c r="F37" i="9"/>
  <c r="G37" i="13"/>
  <c r="C37" i="13"/>
  <c r="F37" i="13"/>
  <c r="E37" i="13"/>
  <c r="D37" i="13"/>
  <c r="F101" i="13"/>
  <c r="F47" i="13"/>
  <c r="E47" i="13"/>
  <c r="D47" i="13"/>
  <c r="G47" i="13"/>
  <c r="C47" i="13"/>
  <c r="B27" i="13"/>
  <c r="D32" i="9"/>
  <c r="G132" i="13"/>
  <c r="H108" i="9"/>
  <c r="H110" i="9"/>
  <c r="F132" i="13"/>
  <c r="G108" i="9"/>
  <c r="G110" i="9"/>
  <c r="C132" i="13"/>
  <c r="E132" i="13"/>
  <c r="B110" i="9"/>
  <c r="G60" i="9"/>
  <c r="D37" i="9"/>
  <c r="B32" i="9"/>
  <c r="E57" i="13"/>
  <c r="D57" i="13"/>
  <c r="G57" i="13"/>
  <c r="C57" i="13"/>
  <c r="F57" i="13"/>
  <c r="B37" i="13"/>
  <c r="D46" i="9"/>
  <c r="E60" i="9"/>
  <c r="E46" i="9"/>
  <c r="E51" i="9"/>
  <c r="H46" i="9"/>
  <c r="F60" i="9"/>
  <c r="F46" i="9"/>
  <c r="F51" i="9"/>
  <c r="D60" i="9"/>
  <c r="H51" i="9"/>
  <c r="H65" i="9"/>
  <c r="G46" i="9"/>
  <c r="G51" i="9"/>
  <c r="G65" i="9"/>
  <c r="H60" i="9"/>
  <c r="M171" i="7"/>
  <c r="L171" i="7"/>
  <c r="K171" i="7"/>
  <c r="J171" i="7"/>
  <c r="M170" i="7"/>
  <c r="L170" i="7"/>
  <c r="K170" i="7"/>
  <c r="J170" i="7"/>
  <c r="M169" i="7"/>
  <c r="L169" i="7"/>
  <c r="K169" i="7"/>
  <c r="J169" i="7"/>
  <c r="I169" i="7"/>
  <c r="I170" i="7"/>
  <c r="I171" i="7"/>
  <c r="I172" i="7"/>
  <c r="G172" i="7"/>
  <c r="I173" i="7"/>
  <c r="G173" i="7"/>
  <c r="I174" i="7"/>
  <c r="G174" i="7"/>
  <c r="M137" i="7"/>
  <c r="L137" i="7"/>
  <c r="K137" i="7"/>
  <c r="J137" i="7"/>
  <c r="I137" i="7"/>
  <c r="M136" i="7"/>
  <c r="L136" i="7"/>
  <c r="K136" i="7"/>
  <c r="J136" i="7"/>
  <c r="I136" i="7"/>
  <c r="M164" i="7"/>
  <c r="L164" i="7"/>
  <c r="K164" i="7"/>
  <c r="J164" i="7"/>
  <c r="M165" i="7"/>
  <c r="L165" i="7"/>
  <c r="K165" i="7"/>
  <c r="J165" i="7"/>
  <c r="I165" i="7"/>
  <c r="I164" i="7"/>
  <c r="M162" i="7"/>
  <c r="L162" i="7"/>
  <c r="K162" i="7"/>
  <c r="J162" i="7"/>
  <c r="I162" i="7"/>
  <c r="L40" i="7"/>
  <c r="K40" i="7"/>
  <c r="J40" i="7"/>
  <c r="I40" i="7"/>
  <c r="M43" i="7"/>
  <c r="L43" i="7"/>
  <c r="K43" i="7"/>
  <c r="J43" i="7"/>
  <c r="I43" i="7"/>
  <c r="M200" i="7"/>
  <c r="L200" i="7"/>
  <c r="K200" i="7"/>
  <c r="J200" i="7"/>
  <c r="I200" i="7"/>
  <c r="G197" i="7"/>
  <c r="G157" i="7"/>
  <c r="G158" i="7"/>
  <c r="G159" i="7"/>
  <c r="G163" i="7"/>
  <c r="G166" i="7"/>
  <c r="G167" i="7"/>
  <c r="G168" i="7"/>
  <c r="G175" i="7"/>
  <c r="G176" i="7"/>
  <c r="G177" i="7"/>
  <c r="G178" i="7"/>
  <c r="G179" i="7"/>
  <c r="L64" i="7"/>
  <c r="L63" i="7"/>
  <c r="K64" i="7"/>
  <c r="K63" i="7"/>
  <c r="J64" i="7"/>
  <c r="J63" i="7"/>
  <c r="I64" i="7"/>
  <c r="H79" i="9"/>
  <c r="B46" i="9"/>
  <c r="B60" i="9"/>
  <c r="E65" i="9"/>
  <c r="D51" i="9"/>
  <c r="B37" i="9"/>
  <c r="E74" i="9"/>
  <c r="F65" i="9"/>
  <c r="G74" i="9"/>
  <c r="G79" i="9"/>
  <c r="F74" i="9"/>
  <c r="D74" i="9"/>
  <c r="B74" i="9"/>
  <c r="H74" i="9"/>
  <c r="G170" i="7"/>
  <c r="I39" i="7"/>
  <c r="L135" i="7"/>
  <c r="L201" i="7"/>
  <c r="G169" i="7"/>
  <c r="G162" i="7"/>
  <c r="G165" i="7"/>
  <c r="G171" i="7"/>
  <c r="G164" i="7"/>
  <c r="G154" i="7"/>
  <c r="D65" i="9"/>
  <c r="B51" i="9"/>
  <c r="F79" i="9"/>
  <c r="E79" i="9"/>
  <c r="I135" i="7"/>
  <c r="I201" i="7"/>
  <c r="I145" i="7"/>
  <c r="M142" i="7"/>
  <c r="M141" i="7"/>
  <c r="L142" i="7"/>
  <c r="L141" i="7"/>
  <c r="K142" i="7"/>
  <c r="K141" i="7"/>
  <c r="J142" i="7"/>
  <c r="J141" i="7"/>
  <c r="I142" i="7"/>
  <c r="M135" i="7"/>
  <c r="M201" i="7"/>
  <c r="K135" i="7"/>
  <c r="K201" i="7"/>
  <c r="J135" i="7"/>
  <c r="J201" i="7"/>
  <c r="G94" i="7"/>
  <c r="G92" i="7"/>
  <c r="M79" i="7"/>
  <c r="M77" i="7"/>
  <c r="L79" i="7"/>
  <c r="L77" i="7"/>
  <c r="K79" i="7"/>
  <c r="K77" i="7"/>
  <c r="J79" i="7"/>
  <c r="J77" i="7"/>
  <c r="I79" i="7"/>
  <c r="I77" i="7"/>
  <c r="G73" i="7"/>
  <c r="G75" i="7"/>
  <c r="J145" i="7"/>
  <c r="K145" i="7"/>
  <c r="L145" i="7"/>
  <c r="M145" i="7"/>
  <c r="G137" i="7"/>
  <c r="G138" i="7"/>
  <c r="B65" i="9"/>
  <c r="D79" i="9"/>
  <c r="B79" i="9"/>
  <c r="I160" i="7"/>
  <c r="M48" i="7"/>
  <c r="M38" i="7"/>
  <c r="M160" i="7"/>
  <c r="J160" i="7"/>
  <c r="J48" i="7"/>
  <c r="J38" i="7"/>
  <c r="K160" i="7"/>
  <c r="I48" i="7"/>
  <c r="L48" i="7"/>
  <c r="L160" i="7"/>
  <c r="K48" i="7"/>
  <c r="I141" i="7"/>
  <c r="J50" i="7"/>
  <c r="K50" i="7"/>
  <c r="K155" i="7"/>
  <c r="L50" i="7"/>
  <c r="L155" i="7"/>
  <c r="M50" i="7"/>
  <c r="M155" i="7"/>
  <c r="I50" i="7"/>
  <c r="M161" i="7"/>
  <c r="G159" i="13"/>
  <c r="G158" i="13"/>
  <c r="L161" i="7"/>
  <c r="F159" i="13"/>
  <c r="F158" i="13"/>
  <c r="F157" i="13"/>
  <c r="F156" i="13"/>
  <c r="K161" i="7"/>
  <c r="E159" i="13"/>
  <c r="E158" i="13"/>
  <c r="J161" i="7"/>
  <c r="D159" i="13"/>
  <c r="D158" i="13"/>
  <c r="I161" i="7"/>
  <c r="C159" i="13"/>
  <c r="C158" i="13"/>
  <c r="I51" i="7"/>
  <c r="I156" i="7"/>
  <c r="I155" i="7"/>
  <c r="M51" i="7"/>
  <c r="M156" i="7"/>
  <c r="M153" i="7"/>
  <c r="M152" i="7"/>
  <c r="L51" i="7"/>
  <c r="L156" i="7"/>
  <c r="L153" i="7"/>
  <c r="L152" i="7"/>
  <c r="G160" i="7"/>
  <c r="K51" i="7"/>
  <c r="K156" i="7"/>
  <c r="K153" i="7"/>
  <c r="K152" i="7"/>
  <c r="J51" i="7"/>
  <c r="J156" i="7"/>
  <c r="J155" i="7"/>
  <c r="B191" i="13"/>
  <c r="B199" i="13"/>
  <c r="B148" i="13"/>
  <c r="E157" i="13"/>
  <c r="E156" i="13"/>
  <c r="E149" i="13"/>
  <c r="G157" i="13"/>
  <c r="G156" i="13"/>
  <c r="G115" i="9"/>
  <c r="F149" i="13"/>
  <c r="F115" i="9"/>
  <c r="D157" i="13"/>
  <c r="D156" i="13"/>
  <c r="G161" i="7"/>
  <c r="C157" i="13"/>
  <c r="C156" i="13"/>
  <c r="G156" i="7"/>
  <c r="J153" i="7"/>
  <c r="J152" i="7"/>
  <c r="I153" i="7"/>
  <c r="I152" i="7"/>
  <c r="G155" i="7"/>
  <c r="A78" i="13"/>
  <c r="B16" i="13"/>
  <c r="D8" i="13"/>
  <c r="D29" i="13"/>
  <c r="E8" i="13"/>
  <c r="E39" i="13"/>
  <c r="F8" i="13"/>
  <c r="F49" i="13"/>
  <c r="G8" i="13"/>
  <c r="G19" i="13"/>
  <c r="C8" i="13"/>
  <c r="C29" i="13"/>
  <c r="C125" i="13"/>
  <c r="A37" i="13"/>
  <c r="A47" i="13"/>
  <c r="A57" i="13"/>
  <c r="A68" i="11"/>
  <c r="A69" i="11"/>
  <c r="A70" i="11"/>
  <c r="A71" i="11"/>
  <c r="A72" i="11"/>
  <c r="A77" i="11"/>
  <c r="A78" i="11"/>
  <c r="A79" i="11"/>
  <c r="A67" i="11"/>
  <c r="H115" i="9"/>
  <c r="G149" i="13"/>
  <c r="E115" i="9"/>
  <c r="D149" i="13"/>
  <c r="D115" i="9"/>
  <c r="D119" i="9"/>
  <c r="C149" i="13"/>
  <c r="G152" i="7"/>
  <c r="G153" i="7"/>
  <c r="D39" i="13"/>
  <c r="F19" i="13"/>
  <c r="F29" i="13"/>
  <c r="G29" i="13"/>
  <c r="F39" i="13"/>
  <c r="C39" i="13"/>
  <c r="G39" i="13"/>
  <c r="E49" i="13"/>
  <c r="E19" i="13"/>
  <c r="C49" i="13"/>
  <c r="D49" i="13"/>
  <c r="D125" i="13"/>
  <c r="C19" i="13"/>
  <c r="D19" i="13"/>
  <c r="E29" i="13"/>
  <c r="G49" i="13"/>
  <c r="D131" i="13"/>
  <c r="E131" i="13"/>
  <c r="F131" i="13"/>
  <c r="C131" i="13"/>
  <c r="M199" i="7"/>
  <c r="L199" i="7"/>
  <c r="K199" i="7"/>
  <c r="J199" i="7"/>
  <c r="M192" i="7"/>
  <c r="L192" i="7"/>
  <c r="K192" i="7"/>
  <c r="J192" i="7"/>
  <c r="M151" i="7"/>
  <c r="L151" i="7"/>
  <c r="K151" i="7"/>
  <c r="J151" i="7"/>
  <c r="M134" i="7"/>
  <c r="L134" i="7"/>
  <c r="K134" i="7"/>
  <c r="J134" i="7"/>
  <c r="M108" i="7"/>
  <c r="L108" i="7"/>
  <c r="K108" i="7"/>
  <c r="J108" i="7"/>
  <c r="M89" i="7"/>
  <c r="L89" i="7"/>
  <c r="K89" i="7"/>
  <c r="J89" i="7"/>
  <c r="M36" i="7"/>
  <c r="L36" i="7"/>
  <c r="K36" i="7"/>
  <c r="J36" i="7"/>
  <c r="G36" i="7"/>
  <c r="G189" i="7"/>
  <c r="G188" i="7"/>
  <c r="G187" i="7"/>
  <c r="G186" i="7"/>
  <c r="G185" i="7"/>
  <c r="G184" i="7"/>
  <c r="G182" i="7"/>
  <c r="G181" i="7"/>
  <c r="G180" i="7"/>
  <c r="G148" i="7"/>
  <c r="G147" i="7"/>
  <c r="G146" i="7"/>
  <c r="G145" i="7"/>
  <c r="G144" i="7"/>
  <c r="G143" i="7"/>
  <c r="G142" i="7"/>
  <c r="G141" i="7"/>
  <c r="G140" i="7"/>
  <c r="G139" i="7"/>
  <c r="G136" i="7"/>
  <c r="G135" i="7"/>
  <c r="G203" i="7"/>
  <c r="G202" i="7"/>
  <c r="G201" i="7"/>
  <c r="G200" i="7"/>
  <c r="G196" i="7"/>
  <c r="D124" i="9"/>
  <c r="D126" i="9"/>
  <c r="D127" i="9"/>
  <c r="C191" i="13"/>
  <c r="C148" i="13"/>
  <c r="F148" i="13"/>
  <c r="F191" i="13"/>
  <c r="E148" i="13"/>
  <c r="E191" i="13"/>
  <c r="D191" i="13"/>
  <c r="D148" i="13"/>
  <c r="E125" i="13"/>
  <c r="F125" i="13"/>
  <c r="B169" i="13"/>
  <c r="B170" i="13"/>
  <c r="B175" i="13"/>
  <c r="B193" i="13"/>
  <c r="B168" i="13"/>
  <c r="B172" i="13"/>
  <c r="B162" i="13"/>
  <c r="B197" i="13"/>
  <c r="B203" i="13"/>
  <c r="B154" i="13"/>
  <c r="B158" i="13"/>
  <c r="B195" i="13"/>
  <c r="B165" i="13"/>
  <c r="B153" i="13"/>
  <c r="B163" i="13"/>
  <c r="B167" i="13"/>
  <c r="B174" i="13"/>
  <c r="B164" i="13"/>
  <c r="B202" i="13"/>
  <c r="B208" i="13"/>
  <c r="B152" i="13"/>
  <c r="B160" i="13"/>
  <c r="B161" i="13"/>
  <c r="B155" i="13"/>
  <c r="B196" i="13"/>
  <c r="B205" i="13"/>
  <c r="B207" i="13"/>
  <c r="B159" i="13"/>
  <c r="B171" i="13"/>
  <c r="B176" i="13"/>
  <c r="B151" i="13"/>
  <c r="B194" i="13"/>
  <c r="B204" i="13"/>
  <c r="B206" i="13"/>
  <c r="G131" i="13"/>
  <c r="J90" i="7"/>
  <c r="K90" i="7"/>
  <c r="L90" i="7"/>
  <c r="M90" i="7"/>
  <c r="K32" i="7"/>
  <c r="E199" i="13"/>
  <c r="E213" i="13"/>
  <c r="F199" i="13"/>
  <c r="F213" i="13"/>
  <c r="D199" i="13"/>
  <c r="D213" i="13"/>
  <c r="C199" i="13"/>
  <c r="C213" i="13"/>
  <c r="C61" i="13"/>
  <c r="D60" i="13"/>
  <c r="D61" i="13"/>
  <c r="E60" i="13"/>
  <c r="E61" i="13"/>
  <c r="B60" i="13"/>
  <c r="B61" i="13"/>
  <c r="G191" i="13"/>
  <c r="G148" i="13"/>
  <c r="G125" i="13"/>
  <c r="G199" i="13"/>
  <c r="G213" i="13"/>
  <c r="G61" i="7"/>
  <c r="G60" i="7"/>
  <c r="E134" i="9"/>
  <c r="F134" i="9"/>
  <c r="G134" i="9"/>
  <c r="H134" i="9"/>
  <c r="B134" i="9"/>
  <c r="D68" i="11"/>
  <c r="D69" i="11"/>
  <c r="J131" i="7"/>
  <c r="E118" i="9"/>
  <c r="K131" i="7"/>
  <c r="F118" i="9"/>
  <c r="F119" i="9"/>
  <c r="L131" i="7"/>
  <c r="G118" i="9"/>
  <c r="G119" i="9"/>
  <c r="M131" i="7"/>
  <c r="H118" i="9"/>
  <c r="H119" i="9"/>
  <c r="I131" i="7"/>
  <c r="A13" i="13"/>
  <c r="A68" i="13"/>
  <c r="A12" i="13"/>
  <c r="A67" i="13"/>
  <c r="A11" i="13"/>
  <c r="A66" i="13"/>
  <c r="A10" i="13"/>
  <c r="A65" i="13"/>
  <c r="A14" i="13"/>
  <c r="A69" i="13"/>
  <c r="B118" i="9"/>
  <c r="E119" i="9"/>
  <c r="A26" i="13"/>
  <c r="G131" i="7"/>
  <c r="G130" i="7"/>
  <c r="C108" i="13"/>
  <c r="C81" i="13"/>
  <c r="E13" i="9"/>
  <c r="F13" i="9"/>
  <c r="G13" i="9"/>
  <c r="H13" i="9"/>
  <c r="E12" i="9"/>
  <c r="F12" i="9"/>
  <c r="G12" i="9"/>
  <c r="H12" i="9"/>
  <c r="D12" i="9"/>
  <c r="E8" i="9"/>
  <c r="E133" i="9"/>
  <c r="F8" i="9"/>
  <c r="F133" i="9"/>
  <c r="G8" i="9"/>
  <c r="G133" i="9"/>
  <c r="H8" i="9"/>
  <c r="H133" i="9"/>
  <c r="D8" i="9"/>
  <c r="D133" i="9"/>
  <c r="J39" i="7"/>
  <c r="K39" i="7"/>
  <c r="L39" i="7"/>
  <c r="G103" i="7"/>
  <c r="J33" i="7"/>
  <c r="K33" i="7"/>
  <c r="L33" i="7"/>
  <c r="M33" i="7"/>
  <c r="I33" i="7"/>
  <c r="J32" i="7"/>
  <c r="L32" i="7"/>
  <c r="M32" i="7"/>
  <c r="I32" i="7"/>
  <c r="M19" i="7"/>
  <c r="L19" i="7"/>
  <c r="K19" i="7"/>
  <c r="J19" i="7"/>
  <c r="I19" i="7"/>
  <c r="I18" i="7"/>
  <c r="I29" i="7"/>
  <c r="D81" i="13"/>
  <c r="E81" i="13"/>
  <c r="F81" i="13"/>
  <c r="G81" i="13"/>
  <c r="G54" i="13"/>
  <c r="F54" i="13"/>
  <c r="D54" i="13"/>
  <c r="E54" i="13"/>
  <c r="C12" i="13"/>
  <c r="D15" i="13"/>
  <c r="E15" i="13"/>
  <c r="F15" i="13"/>
  <c r="G15" i="13"/>
  <c r="C123" i="13"/>
  <c r="C93" i="13"/>
  <c r="C105" i="13"/>
  <c r="G95" i="13"/>
  <c r="C114" i="13"/>
  <c r="G82" i="13"/>
  <c r="C90" i="13"/>
  <c r="G99" i="13"/>
  <c r="D108" i="13"/>
  <c r="G80" i="13"/>
  <c r="G84" i="13"/>
  <c r="G97" i="13"/>
  <c r="G110" i="13"/>
  <c r="C117" i="13"/>
  <c r="C118" i="13"/>
  <c r="D118" i="13"/>
  <c r="A21" i="13"/>
  <c r="A31" i="13"/>
  <c r="A41" i="13"/>
  <c r="A51" i="13"/>
  <c r="A22" i="13"/>
  <c r="A32" i="13"/>
  <c r="A42" i="13"/>
  <c r="A52" i="13"/>
  <c r="A23" i="13"/>
  <c r="A33" i="13"/>
  <c r="A24" i="13"/>
  <c r="A34" i="13"/>
  <c r="A25" i="13"/>
  <c r="A35" i="13"/>
  <c r="A45" i="13"/>
  <c r="A55" i="13"/>
  <c r="A36" i="13"/>
  <c r="A46" i="13"/>
  <c r="A56" i="13"/>
  <c r="C112" i="13"/>
  <c r="J10" i="12"/>
  <c r="D93" i="13"/>
  <c r="E93" i="13"/>
  <c r="C116" i="13"/>
  <c r="D105" i="13"/>
  <c r="E105" i="13"/>
  <c r="D114" i="13"/>
  <c r="E114" i="13"/>
  <c r="F24" i="13"/>
  <c r="G24" i="13"/>
  <c r="E24" i="13"/>
  <c r="C24" i="13"/>
  <c r="D24" i="13"/>
  <c r="E23" i="13"/>
  <c r="C23" i="13"/>
  <c r="F23" i="13"/>
  <c r="G23" i="13"/>
  <c r="D23" i="13"/>
  <c r="D123" i="13"/>
  <c r="E123" i="13"/>
  <c r="F26" i="13"/>
  <c r="E26" i="13"/>
  <c r="G26" i="13"/>
  <c r="D26" i="13"/>
  <c r="C26" i="13"/>
  <c r="B138" i="13"/>
  <c r="B137" i="13"/>
  <c r="B15" i="13"/>
  <c r="G79" i="13"/>
  <c r="G92" i="13"/>
  <c r="G91" i="13"/>
  <c r="G106" i="13"/>
  <c r="G86" i="13"/>
  <c r="G85" i="13"/>
  <c r="G87" i="13"/>
  <c r="G94" i="13"/>
  <c r="E118" i="13"/>
  <c r="F118" i="13"/>
  <c r="G109" i="13"/>
  <c r="D78" i="13"/>
  <c r="E108" i="13"/>
  <c r="F108" i="13"/>
  <c r="G96" i="13"/>
  <c r="B13" i="13"/>
  <c r="D90" i="13"/>
  <c r="G98" i="13"/>
  <c r="A44" i="13"/>
  <c r="A54" i="13"/>
  <c r="D112" i="13"/>
  <c r="G121" i="13"/>
  <c r="D117" i="13"/>
  <c r="D116" i="13"/>
  <c r="A43" i="13"/>
  <c r="A53" i="13"/>
  <c r="B12" i="13"/>
  <c r="F93" i="13"/>
  <c r="G93" i="13"/>
  <c r="E78" i="13"/>
  <c r="F78" i="13"/>
  <c r="F46" i="13"/>
  <c r="E46" i="13"/>
  <c r="G46" i="13"/>
  <c r="D46" i="13"/>
  <c r="C46" i="13"/>
  <c r="D35" i="13"/>
  <c r="E35" i="13"/>
  <c r="G35" i="13"/>
  <c r="C35" i="13"/>
  <c r="F35" i="13"/>
  <c r="E112" i="13"/>
  <c r="D33" i="13"/>
  <c r="G33" i="13"/>
  <c r="C33" i="13"/>
  <c r="E33" i="13"/>
  <c r="F33" i="13"/>
  <c r="C25" i="13"/>
  <c r="D31" i="9"/>
  <c r="D25" i="13"/>
  <c r="E31" i="9"/>
  <c r="E25" i="13"/>
  <c r="F31" i="9"/>
  <c r="F25" i="13"/>
  <c r="G31" i="9"/>
  <c r="G25" i="13"/>
  <c r="H31" i="9"/>
  <c r="D36" i="13"/>
  <c r="C36" i="13"/>
  <c r="G36" i="13"/>
  <c r="E36" i="13"/>
  <c r="F36" i="13"/>
  <c r="F114" i="13"/>
  <c r="G114" i="13"/>
  <c r="F44" i="13"/>
  <c r="C44" i="13"/>
  <c r="G44" i="13"/>
  <c r="D44" i="13"/>
  <c r="E44" i="13"/>
  <c r="D34" i="13"/>
  <c r="F34" i="13"/>
  <c r="C34" i="13"/>
  <c r="G34" i="13"/>
  <c r="E34" i="13"/>
  <c r="B26" i="13"/>
  <c r="B24" i="13"/>
  <c r="E117" i="13"/>
  <c r="G118" i="13"/>
  <c r="G83" i="13"/>
  <c r="F123" i="13"/>
  <c r="F105" i="13"/>
  <c r="G108" i="13"/>
  <c r="E90" i="13"/>
  <c r="F90" i="13"/>
  <c r="G120" i="13"/>
  <c r="G119" i="13"/>
  <c r="B23" i="13"/>
  <c r="D45" i="9"/>
  <c r="G45" i="9"/>
  <c r="E45" i="9"/>
  <c r="H45" i="9"/>
  <c r="F45" i="9"/>
  <c r="F117" i="13"/>
  <c r="F116" i="13"/>
  <c r="E116" i="13"/>
  <c r="G105" i="13"/>
  <c r="G78" i="13"/>
  <c r="B34" i="13"/>
  <c r="B36" i="13"/>
  <c r="F112" i="13"/>
  <c r="F43" i="13"/>
  <c r="E43" i="13"/>
  <c r="G43" i="13"/>
  <c r="C43" i="13"/>
  <c r="D43" i="13"/>
  <c r="G56" i="13"/>
  <c r="F56" i="13"/>
  <c r="D56" i="13"/>
  <c r="C56" i="13"/>
  <c r="E56" i="13"/>
  <c r="B47" i="13"/>
  <c r="B44" i="13"/>
  <c r="B46" i="13"/>
  <c r="G123" i="13"/>
  <c r="G107" i="13"/>
  <c r="B54" i="13"/>
  <c r="B35" i="13"/>
  <c r="B25" i="13"/>
  <c r="B33" i="13"/>
  <c r="G117" i="13"/>
  <c r="F69" i="13"/>
  <c r="G95" i="9"/>
  <c r="E69" i="13"/>
  <c r="F95" i="9"/>
  <c r="C69" i="13"/>
  <c r="D95" i="9"/>
  <c r="D69" i="13"/>
  <c r="G69" i="13"/>
  <c r="H95" i="9"/>
  <c r="B43" i="13"/>
  <c r="G53" i="13"/>
  <c r="F53" i="13"/>
  <c r="C53" i="13"/>
  <c r="D53" i="13"/>
  <c r="E53" i="13"/>
  <c r="G112" i="13"/>
  <c r="G55" i="13"/>
  <c r="D55" i="13"/>
  <c r="F55" i="13"/>
  <c r="E55" i="13"/>
  <c r="C55" i="13"/>
  <c r="F45" i="13"/>
  <c r="G59" i="9"/>
  <c r="E45" i="13"/>
  <c r="F59" i="9"/>
  <c r="C45" i="13"/>
  <c r="D59" i="9"/>
  <c r="G45" i="13"/>
  <c r="H59" i="9"/>
  <c r="D45" i="13"/>
  <c r="E59" i="9"/>
  <c r="B57" i="13"/>
  <c r="B56" i="13"/>
  <c r="G90" i="13"/>
  <c r="G73" i="9"/>
  <c r="H73" i="9"/>
  <c r="F73" i="9"/>
  <c r="E73" i="9"/>
  <c r="B69" i="13"/>
  <c r="E95" i="9"/>
  <c r="D73" i="9"/>
  <c r="B53" i="13"/>
  <c r="B45" i="13"/>
  <c r="B55" i="13"/>
  <c r="G97" i="11"/>
  <c r="D97" i="11"/>
  <c r="G79" i="11"/>
  <c r="D79" i="11"/>
  <c r="G96" i="11"/>
  <c r="D96" i="11"/>
  <c r="G78" i="11"/>
  <c r="D78" i="11"/>
  <c r="G95" i="11"/>
  <c r="D95" i="11"/>
  <c r="G77" i="11"/>
  <c r="D77" i="11"/>
  <c r="G94" i="11"/>
  <c r="D94" i="11"/>
  <c r="G76" i="11"/>
  <c r="D76" i="11"/>
  <c r="G93" i="11"/>
  <c r="D93" i="11"/>
  <c r="G75" i="11"/>
  <c r="D75" i="11"/>
  <c r="G92" i="11"/>
  <c r="D92" i="11"/>
  <c r="G74" i="11"/>
  <c r="D74" i="11"/>
  <c r="G91" i="11"/>
  <c r="D91" i="11"/>
  <c r="G73" i="11"/>
  <c r="D73" i="11"/>
  <c r="G90" i="11"/>
  <c r="D90" i="11"/>
  <c r="G72" i="11"/>
  <c r="D72" i="11"/>
  <c r="G89" i="11"/>
  <c r="D89" i="11"/>
  <c r="G71" i="11"/>
  <c r="D71" i="11"/>
  <c r="G88" i="11"/>
  <c r="D88" i="11"/>
  <c r="G70" i="11"/>
  <c r="D70" i="11"/>
  <c r="G87" i="11"/>
  <c r="D87" i="11"/>
  <c r="G69" i="11"/>
  <c r="G86" i="11"/>
  <c r="D86" i="11"/>
  <c r="G68" i="11"/>
  <c r="G85" i="11"/>
  <c r="D85" i="11"/>
  <c r="G67" i="11"/>
  <c r="D67" i="11"/>
  <c r="H17" i="9"/>
  <c r="G41" i="9"/>
  <c r="D17" i="9"/>
  <c r="G84" i="11"/>
  <c r="G66" i="11"/>
  <c r="D84" i="11"/>
  <c r="D66" i="11"/>
  <c r="B226" i="13"/>
  <c r="B12" i="9"/>
  <c r="B45" i="9"/>
  <c r="B97" i="9"/>
  <c r="B114" i="9"/>
  <c r="B122" i="9"/>
  <c r="B123" i="9"/>
  <c r="B31" i="9"/>
  <c r="B116" i="9"/>
  <c r="B105" i="9"/>
  <c r="H111" i="9"/>
  <c r="B115" i="9"/>
  <c r="B13" i="9"/>
  <c r="B107" i="9"/>
  <c r="B108" i="9"/>
  <c r="E111" i="9"/>
  <c r="H95" i="11"/>
  <c r="H85" i="11"/>
  <c r="H89" i="11"/>
  <c r="H72" i="11"/>
  <c r="H67" i="11"/>
  <c r="H70" i="11"/>
  <c r="H68" i="11"/>
  <c r="H76" i="11"/>
  <c r="H87" i="11"/>
  <c r="H97" i="11"/>
  <c r="H71" i="11"/>
  <c r="H73" i="11"/>
  <c r="H75" i="11"/>
  <c r="H96" i="11"/>
  <c r="H69" i="11"/>
  <c r="H91" i="11"/>
  <c r="H74" i="11"/>
  <c r="H93" i="11"/>
  <c r="H77" i="11"/>
  <c r="H86" i="11"/>
  <c r="H90" i="11"/>
  <c r="H94" i="11"/>
  <c r="H79" i="11"/>
  <c r="H88" i="11"/>
  <c r="H92" i="11"/>
  <c r="H78" i="11"/>
  <c r="E113" i="9"/>
  <c r="E103" i="9"/>
  <c r="E121" i="9"/>
  <c r="E86" i="9"/>
  <c r="E91" i="9"/>
  <c r="E69" i="9"/>
  <c r="E41" i="9"/>
  <c r="E27" i="9"/>
  <c r="F113" i="9"/>
  <c r="F103" i="9"/>
  <c r="F121" i="9"/>
  <c r="F91" i="9"/>
  <c r="F86" i="9"/>
  <c r="F55" i="9"/>
  <c r="E17" i="9"/>
  <c r="F27" i="9"/>
  <c r="F69" i="9"/>
  <c r="G121" i="9"/>
  <c r="G113" i="9"/>
  <c r="G103" i="9"/>
  <c r="G91" i="9"/>
  <c r="G86" i="9"/>
  <c r="G69" i="9"/>
  <c r="G55" i="9"/>
  <c r="F17" i="9"/>
  <c r="G27" i="9"/>
  <c r="E55" i="9"/>
  <c r="D121" i="9"/>
  <c r="D113" i="9"/>
  <c r="D103" i="9"/>
  <c r="D91" i="9"/>
  <c r="D69" i="9"/>
  <c r="D55" i="9"/>
  <c r="D86" i="9"/>
  <c r="D41" i="9"/>
  <c r="H113" i="9"/>
  <c r="H121" i="9"/>
  <c r="H103" i="9"/>
  <c r="H91" i="9"/>
  <c r="H86" i="9"/>
  <c r="H69" i="9"/>
  <c r="H55" i="9"/>
  <c r="H41" i="9"/>
  <c r="G17" i="9"/>
  <c r="D27" i="9"/>
  <c r="H27" i="9"/>
  <c r="F41" i="9"/>
  <c r="B59" i="9"/>
  <c r="B73" i="9"/>
  <c r="B117" i="9"/>
  <c r="E50" i="12"/>
  <c r="E51" i="12"/>
  <c r="E52" i="12"/>
  <c r="E49" i="12"/>
  <c r="G72" i="13"/>
  <c r="H84" i="11"/>
  <c r="E72" i="13"/>
  <c r="D72" i="13"/>
  <c r="C72" i="13"/>
  <c r="F72" i="13"/>
  <c r="H66" i="11"/>
  <c r="G17" i="13"/>
  <c r="H23" i="9"/>
  <c r="D14" i="9"/>
  <c r="D15" i="9"/>
  <c r="H14" i="9"/>
  <c r="H15" i="9"/>
  <c r="F17" i="13"/>
  <c r="G23" i="9"/>
  <c r="G14" i="9"/>
  <c r="G15" i="9"/>
  <c r="E14" i="9"/>
  <c r="E15" i="9"/>
  <c r="F14" i="9"/>
  <c r="F15" i="9"/>
  <c r="F88" i="9"/>
  <c r="F89" i="9"/>
  <c r="E17" i="13"/>
  <c r="F23" i="9"/>
  <c r="H88" i="9"/>
  <c r="H89" i="9"/>
  <c r="G88" i="9"/>
  <c r="G89" i="9"/>
  <c r="E88" i="9"/>
  <c r="E89" i="9"/>
  <c r="D17" i="13"/>
  <c r="E23" i="9"/>
  <c r="D88" i="9"/>
  <c r="D89" i="9"/>
  <c r="C17" i="13"/>
  <c r="D23" i="9"/>
  <c r="F140" i="9"/>
  <c r="F141" i="9"/>
  <c r="G142" i="9"/>
  <c r="B138" i="9"/>
  <c r="D58" i="12"/>
  <c r="G111" i="9"/>
  <c r="H140" i="9"/>
  <c r="E140" i="9"/>
  <c r="B136" i="9"/>
  <c r="D57" i="12"/>
  <c r="H124" i="9"/>
  <c r="G124" i="9"/>
  <c r="G126" i="9"/>
  <c r="F111" i="9"/>
  <c r="D111" i="9"/>
  <c r="B111" i="9"/>
  <c r="D34" i="12"/>
  <c r="G58" i="12"/>
  <c r="B72" i="13"/>
  <c r="B89" i="9"/>
  <c r="B17" i="13"/>
  <c r="B88" i="9"/>
  <c r="E124" i="9"/>
  <c r="E126" i="9"/>
  <c r="F124" i="9"/>
  <c r="F126" i="9"/>
  <c r="D61" i="12"/>
  <c r="D142" i="9"/>
  <c r="B140" i="9"/>
  <c r="D60" i="12"/>
  <c r="D141" i="9"/>
  <c r="B15" i="9"/>
  <c r="B14" i="9"/>
  <c r="G141" i="9"/>
  <c r="F142" i="9"/>
  <c r="E142" i="9"/>
  <c r="E141" i="9"/>
  <c r="H141" i="9"/>
  <c r="H142" i="9"/>
  <c r="H126" i="9"/>
  <c r="G127" i="9"/>
  <c r="G128" i="9"/>
  <c r="H58" i="12"/>
  <c r="G59" i="12"/>
  <c r="E128" i="9"/>
  <c r="E127" i="9"/>
  <c r="B141" i="9"/>
  <c r="D63" i="12"/>
  <c r="D64" i="12"/>
  <c r="B142" i="9"/>
  <c r="D62" i="12"/>
  <c r="H128" i="9"/>
  <c r="H127" i="9"/>
  <c r="F127" i="9"/>
  <c r="F128" i="9"/>
  <c r="B119" i="9"/>
  <c r="I58" i="12"/>
  <c r="G60" i="12"/>
  <c r="G61" i="12"/>
  <c r="G62" i="12"/>
  <c r="G35" i="12"/>
  <c r="H35" i="12"/>
  <c r="I35" i="12"/>
  <c r="B124" i="9"/>
  <c r="D35" i="12"/>
  <c r="D36" i="12"/>
  <c r="I39" i="12"/>
  <c r="D40" i="12"/>
  <c r="H59" i="12"/>
  <c r="D37" i="12"/>
  <c r="I59" i="12"/>
  <c r="I62" i="12"/>
  <c r="D128" i="9"/>
  <c r="B128" i="9"/>
  <c r="D41" i="12"/>
  <c r="H60" i="12"/>
  <c r="I60" i="12"/>
  <c r="I61" i="12"/>
  <c r="I36" i="12"/>
  <c r="I37" i="12"/>
  <c r="I38" i="12"/>
  <c r="G36" i="12"/>
  <c r="B126" i="9"/>
  <c r="D39" i="12"/>
  <c r="B127" i="9"/>
  <c r="D42" i="12"/>
  <c r="D43" i="12"/>
  <c r="H61" i="12"/>
  <c r="H62" i="12"/>
  <c r="G37" i="12"/>
  <c r="G38" i="12"/>
  <c r="H38" i="12"/>
  <c r="H36" i="12"/>
  <c r="J18" i="7"/>
  <c r="J30" i="7"/>
  <c r="K18" i="7"/>
  <c r="K30" i="7"/>
  <c r="L18" i="7"/>
  <c r="L30" i="7"/>
  <c r="M18" i="7"/>
  <c r="M30" i="7"/>
  <c r="G30" i="7"/>
  <c r="H37" i="12"/>
  <c r="G39" i="12"/>
  <c r="H39" i="12"/>
  <c r="L16" i="7"/>
  <c r="G195" i="7"/>
  <c r="G194" i="7"/>
  <c r="G193" i="7"/>
  <c r="G128" i="7"/>
  <c r="G127" i="7"/>
  <c r="G126" i="7"/>
  <c r="G125" i="7"/>
  <c r="G124" i="7"/>
  <c r="G123" i="7"/>
  <c r="G102" i="7"/>
  <c r="G101" i="7"/>
  <c r="G100" i="7"/>
  <c r="A76" i="11"/>
  <c r="G99" i="7"/>
  <c r="A75" i="11"/>
  <c r="G98" i="7"/>
  <c r="A74" i="11"/>
  <c r="G97" i="7"/>
  <c r="A73" i="11"/>
  <c r="G96" i="7"/>
  <c r="G95" i="7"/>
  <c r="G93" i="7"/>
  <c r="G91" i="7"/>
  <c r="G90" i="7"/>
  <c r="G86" i="7"/>
  <c r="G84" i="7"/>
  <c r="G82" i="7"/>
  <c r="G81" i="7"/>
  <c r="G71" i="7"/>
  <c r="G64" i="7"/>
  <c r="G49" i="7"/>
  <c r="G46" i="7"/>
  <c r="L38" i="7"/>
  <c r="K38" i="7"/>
  <c r="L29" i="7"/>
  <c r="M27" i="7"/>
  <c r="L27" i="7"/>
  <c r="K27" i="7"/>
  <c r="J27" i="7"/>
  <c r="G27" i="7"/>
  <c r="G23" i="7"/>
  <c r="G22" i="7"/>
  <c r="G21" i="7"/>
  <c r="G20" i="7"/>
  <c r="G19" i="7"/>
  <c r="M29" i="7"/>
  <c r="J29" i="7"/>
  <c r="M13" i="7"/>
  <c r="L13" i="7"/>
  <c r="K13" i="7"/>
  <c r="J13" i="7"/>
  <c r="I13" i="7"/>
  <c r="G13" i="7"/>
  <c r="G48" i="7"/>
  <c r="G63" i="7"/>
  <c r="I104" i="13"/>
  <c r="E11" i="9"/>
  <c r="E87" i="9"/>
  <c r="G11" i="9"/>
  <c r="G87" i="9"/>
  <c r="H11" i="9"/>
  <c r="H87" i="9"/>
  <c r="I199" i="7"/>
  <c r="I108" i="7"/>
  <c r="I192" i="7"/>
  <c r="I89" i="7"/>
  <c r="I151" i="7"/>
  <c r="I36" i="7"/>
  <c r="I134" i="7"/>
  <c r="I27" i="7"/>
  <c r="B144" i="13"/>
  <c r="B145" i="13"/>
  <c r="B146" i="13"/>
  <c r="B142" i="13"/>
  <c r="B141" i="13"/>
  <c r="I16" i="7"/>
  <c r="K34" i="7"/>
  <c r="F11" i="9"/>
  <c r="F87" i="9"/>
  <c r="J34" i="7"/>
  <c r="G113" i="7"/>
  <c r="K31" i="7"/>
  <c r="G114" i="7"/>
  <c r="G110" i="7"/>
  <c r="K29" i="7"/>
  <c r="J31" i="7"/>
  <c r="G119" i="7"/>
  <c r="G122" i="7"/>
  <c r="L31" i="7"/>
  <c r="L34" i="7"/>
  <c r="G109" i="7"/>
  <c r="G120" i="7"/>
  <c r="M16" i="7"/>
  <c r="G115" i="7"/>
  <c r="G117" i="7"/>
  <c r="G118" i="7"/>
  <c r="G129" i="7"/>
  <c r="G116" i="7"/>
  <c r="G121" i="7"/>
  <c r="M31" i="7"/>
  <c r="M34" i="7"/>
  <c r="J16" i="7"/>
  <c r="K16" i="7"/>
  <c r="G31" i="7"/>
  <c r="E89" i="13"/>
  <c r="I89" i="13"/>
  <c r="D24" i="12"/>
  <c r="C66" i="13"/>
  <c r="E66" i="13"/>
  <c r="F94" i="9"/>
  <c r="G66" i="13"/>
  <c r="H94" i="9"/>
  <c r="D66" i="13"/>
  <c r="E94" i="9"/>
  <c r="F66" i="13"/>
  <c r="G94" i="9"/>
  <c r="C104" i="13"/>
  <c r="F104" i="13"/>
  <c r="C52" i="13"/>
  <c r="D72" i="9"/>
  <c r="D89" i="13"/>
  <c r="G16" i="7"/>
  <c r="E104" i="13"/>
  <c r="D42" i="13"/>
  <c r="E58" i="9"/>
  <c r="B104" i="13"/>
  <c r="C11" i="13"/>
  <c r="D14" i="13"/>
  <c r="E21" i="9"/>
  <c r="E36" i="9"/>
  <c r="C14" i="13"/>
  <c r="D21" i="9"/>
  <c r="G14" i="13"/>
  <c r="H21" i="9"/>
  <c r="H36" i="9"/>
  <c r="F14" i="13"/>
  <c r="G21" i="9"/>
  <c r="G36" i="9"/>
  <c r="E14" i="13"/>
  <c r="F21" i="9"/>
  <c r="F36" i="9"/>
  <c r="F50" i="9"/>
  <c r="F64" i="9"/>
  <c r="F78" i="9"/>
  <c r="G116" i="13"/>
  <c r="G42" i="13"/>
  <c r="H58" i="9"/>
  <c r="D104" i="13"/>
  <c r="G32" i="13"/>
  <c r="C89" i="13"/>
  <c r="F89" i="13"/>
  <c r="B89" i="13"/>
  <c r="G105" i="7"/>
  <c r="G52" i="13"/>
  <c r="H72" i="9"/>
  <c r="D52" i="13"/>
  <c r="E72" i="9"/>
  <c r="C22" i="13"/>
  <c r="D30" i="9"/>
  <c r="B30" i="9"/>
  <c r="H50" i="9"/>
  <c r="H64" i="9"/>
  <c r="H78" i="9"/>
  <c r="E50" i="9"/>
  <c r="G50" i="9"/>
  <c r="G64" i="9"/>
  <c r="G78" i="9"/>
  <c r="E52" i="13"/>
  <c r="F72" i="9"/>
  <c r="F52" i="13"/>
  <c r="G72" i="9"/>
  <c r="C42" i="13"/>
  <c r="D58" i="9"/>
  <c r="B66" i="13"/>
  <c r="D94" i="9"/>
  <c r="B94" i="9"/>
  <c r="E42" i="13"/>
  <c r="F58" i="9"/>
  <c r="D20" i="9"/>
  <c r="E15" i="12"/>
  <c r="E11" i="12"/>
  <c r="E14" i="12"/>
  <c r="E13" i="12"/>
  <c r="E12" i="12"/>
  <c r="D36" i="9"/>
  <c r="B21" i="9"/>
  <c r="F42" i="13"/>
  <c r="G58" i="9"/>
  <c r="E11" i="13"/>
  <c r="F20" i="9"/>
  <c r="F35" i="9"/>
  <c r="B136" i="13"/>
  <c r="G11" i="13"/>
  <c r="G104" i="13"/>
  <c r="B14" i="13"/>
  <c r="F11" i="13"/>
  <c r="G20" i="9"/>
  <c r="G35" i="9"/>
  <c r="D11" i="13"/>
  <c r="D32" i="13"/>
  <c r="E44" i="9"/>
  <c r="F32" i="13"/>
  <c r="G44" i="9"/>
  <c r="C32" i="13"/>
  <c r="D44" i="9"/>
  <c r="E32" i="13"/>
  <c r="F44" i="9"/>
  <c r="H44" i="9"/>
  <c r="B72" i="9"/>
  <c r="D35" i="9"/>
  <c r="D49" i="9"/>
  <c r="B22" i="13"/>
  <c r="E20" i="9"/>
  <c r="H20" i="9"/>
  <c r="H35" i="9"/>
  <c r="E64" i="9"/>
  <c r="E78" i="9"/>
  <c r="B52" i="13"/>
  <c r="B58" i="9"/>
  <c r="B44" i="9"/>
  <c r="B42" i="13"/>
  <c r="F49" i="9"/>
  <c r="G49" i="9"/>
  <c r="D50" i="9"/>
  <c r="B36" i="9"/>
  <c r="B11" i="13"/>
  <c r="B32" i="13"/>
  <c r="B20" i="9"/>
  <c r="E35" i="9"/>
  <c r="E49" i="9"/>
  <c r="F63" i="9"/>
  <c r="G63" i="9"/>
  <c r="H49" i="9"/>
  <c r="D64" i="9"/>
  <c r="B50" i="9"/>
  <c r="D63" i="9"/>
  <c r="B35" i="9"/>
  <c r="H63" i="9"/>
  <c r="G77" i="9"/>
  <c r="B49" i="9"/>
  <c r="F77" i="9"/>
  <c r="E63" i="9"/>
  <c r="D77" i="9"/>
  <c r="B64" i="9"/>
  <c r="D78" i="9"/>
  <c r="B78" i="9"/>
  <c r="B63" i="9"/>
  <c r="H77" i="9"/>
  <c r="E77" i="9"/>
  <c r="B77" i="9"/>
  <c r="I38" i="7"/>
  <c r="G38" i="7"/>
  <c r="I76" i="13"/>
  <c r="D11" i="9"/>
  <c r="I34" i="7"/>
  <c r="G34" i="7"/>
  <c r="I30" i="7"/>
  <c r="D77" i="13"/>
  <c r="I31" i="7"/>
  <c r="G65" i="13"/>
  <c r="C65" i="13"/>
  <c r="E65" i="13"/>
  <c r="C24" i="12"/>
  <c r="F65" i="13"/>
  <c r="D65" i="13"/>
  <c r="F77" i="13"/>
  <c r="F76" i="13"/>
  <c r="E77" i="13"/>
  <c r="E76" i="13"/>
  <c r="B77" i="13"/>
  <c r="B76" i="13"/>
  <c r="C10" i="13"/>
  <c r="C9" i="13"/>
  <c r="G89" i="13"/>
  <c r="C77" i="13"/>
  <c r="C76" i="13"/>
  <c r="C21" i="13"/>
  <c r="C20" i="13"/>
  <c r="D87" i="9"/>
  <c r="B87" i="9"/>
  <c r="B11" i="9"/>
  <c r="G93" i="9"/>
  <c r="F64" i="13"/>
  <c r="H93" i="9"/>
  <c r="G64" i="13"/>
  <c r="F93" i="9"/>
  <c r="E64" i="13"/>
  <c r="E93" i="9"/>
  <c r="D64" i="13"/>
  <c r="C64" i="13"/>
  <c r="D93" i="9"/>
  <c r="B65" i="13"/>
  <c r="D51" i="13"/>
  <c r="E51" i="13"/>
  <c r="G51" i="13"/>
  <c r="F51" i="13"/>
  <c r="G77" i="13"/>
  <c r="D11" i="12"/>
  <c r="D76" i="13"/>
  <c r="G101" i="13"/>
  <c r="D21" i="13"/>
  <c r="D20" i="13"/>
  <c r="F21" i="13"/>
  <c r="F20" i="13"/>
  <c r="G21" i="13"/>
  <c r="G20" i="13"/>
  <c r="E21" i="13"/>
  <c r="E20" i="13"/>
  <c r="D29" i="9"/>
  <c r="D28" i="9"/>
  <c r="C51" i="13"/>
  <c r="F41" i="13"/>
  <c r="F40" i="13"/>
  <c r="G41" i="13"/>
  <c r="G40" i="13"/>
  <c r="E41" i="13"/>
  <c r="E40" i="13"/>
  <c r="D41" i="13"/>
  <c r="D40" i="13"/>
  <c r="C41" i="13"/>
  <c r="B93" i="9"/>
  <c r="B20" i="13"/>
  <c r="G71" i="9"/>
  <c r="G70" i="9"/>
  <c r="F50" i="13"/>
  <c r="D57" i="9"/>
  <c r="D56" i="9"/>
  <c r="C40" i="13"/>
  <c r="H71" i="9"/>
  <c r="H70" i="9"/>
  <c r="G50" i="13"/>
  <c r="D71" i="9"/>
  <c r="D70" i="9"/>
  <c r="C50" i="13"/>
  <c r="F71" i="9"/>
  <c r="F70" i="9"/>
  <c r="E50" i="13"/>
  <c r="E71" i="9"/>
  <c r="E70" i="9"/>
  <c r="D50" i="13"/>
  <c r="E29" i="9"/>
  <c r="E28" i="9"/>
  <c r="D19" i="9"/>
  <c r="G10" i="13"/>
  <c r="F29" i="9"/>
  <c r="F28" i="9"/>
  <c r="G76" i="13"/>
  <c r="H29" i="9"/>
  <c r="H28" i="9"/>
  <c r="G29" i="9"/>
  <c r="D12" i="12"/>
  <c r="D31" i="13"/>
  <c r="C31" i="13"/>
  <c r="G31" i="13"/>
  <c r="G30" i="13"/>
  <c r="D15" i="12"/>
  <c r="D13" i="12"/>
  <c r="D14" i="12"/>
  <c r="H57" i="9"/>
  <c r="H56" i="9"/>
  <c r="G57" i="9"/>
  <c r="G56" i="9"/>
  <c r="E57" i="9"/>
  <c r="E56" i="9"/>
  <c r="F57" i="9"/>
  <c r="F56" i="9"/>
  <c r="F31" i="13"/>
  <c r="F30" i="13"/>
  <c r="E31" i="13"/>
  <c r="E30" i="13"/>
  <c r="B41" i="13"/>
  <c r="B51" i="13"/>
  <c r="B21" i="13"/>
  <c r="F10" i="13"/>
  <c r="F9" i="13"/>
  <c r="E10" i="13"/>
  <c r="E9" i="13"/>
  <c r="D10" i="13"/>
  <c r="D9" i="13"/>
  <c r="B71" i="9"/>
  <c r="B50" i="13"/>
  <c r="B70" i="9"/>
  <c r="D18" i="9"/>
  <c r="D34" i="9"/>
  <c r="G28" i="9"/>
  <c r="B28" i="9"/>
  <c r="H19" i="9"/>
  <c r="G9" i="13"/>
  <c r="D43" i="9"/>
  <c r="C30" i="13"/>
  <c r="E43" i="9"/>
  <c r="E42" i="9"/>
  <c r="D30" i="13"/>
  <c r="B29" i="9"/>
  <c r="B40" i="13"/>
  <c r="G19" i="9"/>
  <c r="H43" i="9"/>
  <c r="H42" i="9"/>
  <c r="B56" i="9"/>
  <c r="E19" i="9"/>
  <c r="F43" i="9"/>
  <c r="F42" i="9"/>
  <c r="F19" i="9"/>
  <c r="G43" i="9"/>
  <c r="G42" i="9"/>
  <c r="B57" i="9"/>
  <c r="B31" i="13"/>
  <c r="B10" i="13"/>
  <c r="D48" i="9"/>
  <c r="D52" i="9"/>
  <c r="B43" i="9"/>
  <c r="D42" i="9"/>
  <c r="B42" i="9"/>
  <c r="D33" i="9"/>
  <c r="D38" i="9"/>
  <c r="B9" i="13"/>
  <c r="B30" i="13"/>
  <c r="H18" i="9"/>
  <c r="H24" i="9"/>
  <c r="H25" i="9"/>
  <c r="H34" i="9"/>
  <c r="G24" i="9"/>
  <c r="G25" i="9"/>
  <c r="G18" i="9"/>
  <c r="G34" i="9"/>
  <c r="F24" i="9"/>
  <c r="F25" i="9"/>
  <c r="F18" i="9"/>
  <c r="F34" i="9"/>
  <c r="E18" i="9"/>
  <c r="E24" i="9"/>
  <c r="E34" i="9"/>
  <c r="B19" i="9"/>
  <c r="D62" i="9"/>
  <c r="D66" i="9"/>
  <c r="D47" i="9"/>
  <c r="G33" i="9"/>
  <c r="G38" i="9"/>
  <c r="G39" i="9"/>
  <c r="F33" i="9"/>
  <c r="F38" i="9"/>
  <c r="F39" i="9"/>
  <c r="E38" i="9"/>
  <c r="E33" i="9"/>
  <c r="H38" i="9"/>
  <c r="H39" i="9"/>
  <c r="H33" i="9"/>
  <c r="H48" i="9"/>
  <c r="E48" i="9"/>
  <c r="B34" i="9"/>
  <c r="F48" i="9"/>
  <c r="E25" i="9"/>
  <c r="B18" i="9"/>
  <c r="G11" i="12"/>
  <c r="G48" i="9"/>
  <c r="D76" i="9"/>
  <c r="D80" i="9"/>
  <c r="D61" i="9"/>
  <c r="G52" i="9"/>
  <c r="G53" i="9"/>
  <c r="G47" i="9"/>
  <c r="E52" i="9"/>
  <c r="E47" i="9"/>
  <c r="B48" i="9"/>
  <c r="F47" i="9"/>
  <c r="F52" i="9"/>
  <c r="F53" i="9"/>
  <c r="H52" i="9"/>
  <c r="H53" i="9"/>
  <c r="H47" i="9"/>
  <c r="F62" i="9"/>
  <c r="F66" i="9"/>
  <c r="B33" i="9"/>
  <c r="G12" i="12"/>
  <c r="H62" i="9"/>
  <c r="H66" i="9"/>
  <c r="G62" i="9"/>
  <c r="G66" i="9"/>
  <c r="E39" i="9"/>
  <c r="D75" i="9"/>
  <c r="E62" i="9"/>
  <c r="E66" i="9"/>
  <c r="B47" i="9"/>
  <c r="G13" i="12"/>
  <c r="B52" i="9"/>
  <c r="E76" i="9"/>
  <c r="E80" i="9"/>
  <c r="E61" i="9"/>
  <c r="E53" i="9"/>
  <c r="H61" i="9"/>
  <c r="H76" i="9"/>
  <c r="H67" i="9"/>
  <c r="F76" i="9"/>
  <c r="F80" i="9"/>
  <c r="F61" i="9"/>
  <c r="F67" i="9"/>
  <c r="B62" i="9"/>
  <c r="G61" i="9"/>
  <c r="G76" i="9"/>
  <c r="G80" i="9"/>
  <c r="G67" i="9"/>
  <c r="H75" i="9"/>
  <c r="H80" i="9"/>
  <c r="H81" i="9"/>
  <c r="H82" i="9"/>
  <c r="E67" i="9"/>
  <c r="G81" i="9"/>
  <c r="G82" i="9"/>
  <c r="G75" i="9"/>
  <c r="F75" i="9"/>
  <c r="F81" i="9"/>
  <c r="F82" i="9"/>
  <c r="B61" i="9"/>
  <c r="G14" i="12"/>
  <c r="E75" i="9"/>
  <c r="B76" i="9"/>
  <c r="B75" i="9"/>
  <c r="G15" i="12"/>
  <c r="E81" i="9"/>
  <c r="E82" i="9"/>
  <c r="F92" i="9"/>
  <c r="F98" i="9"/>
  <c r="F99" i="9"/>
  <c r="F100" i="9"/>
  <c r="B68" i="13"/>
  <c r="E92" i="9"/>
  <c r="E98" i="9"/>
  <c r="E99" i="9"/>
  <c r="E100" i="9"/>
  <c r="G92" i="9"/>
  <c r="G98" i="9"/>
  <c r="G99" i="9"/>
  <c r="G100" i="9"/>
  <c r="H92" i="9"/>
  <c r="H98" i="9"/>
  <c r="H99" i="9"/>
  <c r="H100" i="9"/>
  <c r="D92" i="9"/>
  <c r="B95" i="9"/>
  <c r="B64" i="13"/>
  <c r="B92" i="9"/>
  <c r="E24" i="12"/>
  <c r="D98" i="9"/>
  <c r="B98" i="9"/>
  <c r="D99" i="9"/>
  <c r="D100" i="9"/>
  <c r="B100" i="9"/>
  <c r="D28" i="12"/>
  <c r="B99" i="9"/>
  <c r="G24" i="12"/>
  <c r="D27" i="12"/>
  <c r="G25" i="12"/>
  <c r="H25" i="12"/>
  <c r="H24" i="12"/>
  <c r="L17" i="7"/>
  <c r="M17" i="7"/>
  <c r="B23" i="9"/>
  <c r="D67" i="9"/>
  <c r="B67" i="9"/>
  <c r="I14" i="12"/>
  <c r="J14" i="12"/>
  <c r="D39" i="9"/>
  <c r="B39" i="9"/>
  <c r="I12" i="12"/>
  <c r="J12" i="12"/>
  <c r="D24" i="9"/>
  <c r="B24" i="9"/>
  <c r="D81" i="9"/>
  <c r="B66" i="9"/>
  <c r="D82" i="9"/>
  <c r="B82" i="9"/>
  <c r="D19" i="12"/>
  <c r="B81" i="9"/>
  <c r="D53" i="9"/>
  <c r="B53" i="9"/>
  <c r="I13" i="12"/>
  <c r="J13" i="12"/>
  <c r="B38" i="9"/>
  <c r="D25" i="9"/>
  <c r="B25" i="9"/>
  <c r="I11" i="12"/>
  <c r="J11" i="12"/>
  <c r="B80" i="9"/>
  <c r="I15" i="12"/>
  <c r="J15" i="12"/>
  <c r="D17" i="12"/>
</calcChain>
</file>

<file path=xl/sharedStrings.xml><?xml version="1.0" encoding="utf-8"?>
<sst xmlns="http://schemas.openxmlformats.org/spreadsheetml/2006/main" count="869" uniqueCount="450">
  <si>
    <t>A. Level 1 assets:</t>
  </si>
  <si>
    <t>B. Level 2 assets (maximum of 40% of HQLA):</t>
  </si>
  <si>
    <t>Level 2A assets</t>
  </si>
  <si>
    <t>Level 2B assets (maximum of 15% of HQLA)</t>
  </si>
  <si>
    <t>• Backed by other Level 2B assets</t>
  </si>
  <si>
    <t>• Stable deposits and/or unrestricted profit-sharing investment account (UPSIA) with residual maturity of less than one year provided by retail and small business customers</t>
  </si>
  <si>
    <t>• Less stable deposits and/or UPSIA with residual maturity of less than one year provided by retail and small business customers</t>
  </si>
  <si>
    <t>• Unencumbered financings to financial institutions with residual maturities of less than six months, where the financing is secured against Level 1 assets</t>
  </si>
  <si>
    <t>Total</t>
  </si>
  <si>
    <t>Year</t>
  </si>
  <si>
    <t>Month</t>
  </si>
  <si>
    <t>Type of bank</t>
  </si>
  <si>
    <t>Parent name</t>
  </si>
  <si>
    <t>Ownership by parent (Percent)</t>
  </si>
  <si>
    <t>Consolidated (="Yes"), Standalone (="No")</t>
  </si>
  <si>
    <t>Total Assets</t>
  </si>
  <si>
    <t>Liquid Assets (reported, e.g. according to bank's definition)</t>
  </si>
  <si>
    <t>Total Credit Exposure (including counterpary credit risk)</t>
  </si>
  <si>
    <t>Total Funding liabilities</t>
  </si>
  <si>
    <t>Total regulatory capital</t>
  </si>
  <si>
    <t>Net income (post-tax, previous year)</t>
  </si>
  <si>
    <t>Capital Ratio (Before stress, reported)</t>
  </si>
  <si>
    <t>Tier 1 ratio (Before Stress, Reported)</t>
  </si>
  <si>
    <t>Input Parameters for Liquidity Risk Analysis - Core</t>
  </si>
  <si>
    <t>Liquid assets/total assets</t>
  </si>
  <si>
    <t>Liquid assets/short-term liabilities</t>
  </si>
  <si>
    <t>Central Bank Funding</t>
  </si>
  <si>
    <t xml:space="preserve">Intragroup funding &amp; commitment </t>
  </si>
  <si>
    <t>Equity-type funding</t>
  </si>
  <si>
    <t>Contigent liabilities</t>
  </si>
  <si>
    <t>Assets</t>
  </si>
  <si>
    <t>Portion of unencumbered liquid assets</t>
  </si>
  <si>
    <t>Secured funding backed by Level 1 assets</t>
  </si>
  <si>
    <t>Secured funding backed by Level 2 assets</t>
  </si>
  <si>
    <t>Secured funding backed by other valuable assets (close to Level 2)</t>
  </si>
  <si>
    <t>Collateral needed in case of downgrade by 3 notches</t>
  </si>
  <si>
    <t>Undrawn but committed credit facilities to corporate and retail customers</t>
  </si>
  <si>
    <t xml:space="preserve">Undrawn but committed liability facilities </t>
  </si>
  <si>
    <t>Scheduled outflows</t>
  </si>
  <si>
    <t>Cash Inflow</t>
  </si>
  <si>
    <t>Market share in Islamic Banking (Assets)</t>
  </si>
  <si>
    <t>UPSIA/ Total Assets</t>
  </si>
  <si>
    <t>Demand Deposits (Current Accounts)</t>
  </si>
  <si>
    <t>Retail</t>
  </si>
  <si>
    <t>Short-term Funding</t>
  </si>
  <si>
    <t>Wholesale</t>
  </si>
  <si>
    <t>• Backed by Level 1 assets or with central banks</t>
  </si>
  <si>
    <t>• Backed by Level 2A assets</t>
  </si>
  <si>
    <t>• Secured funding transactions with domestic sovereign, PSEs or MDBs that are not backed by Level 1 or 2A assets. PSEs that receive this treatment are limited to those that have a risk weight of 20% or lower.</t>
  </si>
  <si>
    <t>• Backed by Sharī`ah-compliant residential mortgage-backed securities (RMBS)[1] eligible for inclusion in Level 2B</t>
  </si>
  <si>
    <t>• All others</t>
  </si>
  <si>
    <t>All others</t>
  </si>
  <si>
    <t>Secured</t>
  </si>
  <si>
    <t>Unsecured</t>
  </si>
  <si>
    <t>Stable</t>
  </si>
  <si>
    <t>Less Stable</t>
  </si>
  <si>
    <t>Small business customers/SMEs</t>
  </si>
  <si>
    <t>Operational Accounts</t>
  </si>
  <si>
    <t>Institutional Network of cooperative IIFS</t>
  </si>
  <si>
    <t>Non-financial corp., sovereigns, central banks, MDBs and PSEs</t>
  </si>
  <si>
    <t>Other entities</t>
  </si>
  <si>
    <t>RPSIA</t>
  </si>
  <si>
    <t>Cash and cash equivalent</t>
  </si>
  <si>
    <t>Central Bank Reserves</t>
  </si>
  <si>
    <t>Financial assets held-for-trading</t>
  </si>
  <si>
    <t>Financial assets held-to maturity</t>
  </si>
  <si>
    <t>Financial assets available for sale (Investments)</t>
  </si>
  <si>
    <t>Intra group financing and commitments</t>
  </si>
  <si>
    <t>Financing (customers /financial institutions financing)</t>
  </si>
  <si>
    <t>Off-balance sheet financing</t>
  </si>
  <si>
    <t>IIFS</t>
  </si>
  <si>
    <t>Customer Deposits and UPSIA/total assets</t>
  </si>
  <si>
    <t>RPSIA/ Total Assets</t>
  </si>
  <si>
    <t>Total Financing/Total Deposits</t>
  </si>
  <si>
    <t>For Liquidity Coverage Ratio</t>
  </si>
  <si>
    <t>For Net Stable Funding Ratio</t>
  </si>
  <si>
    <t>Scenario Definition</t>
  </si>
  <si>
    <t>Assumptions based on…</t>
  </si>
  <si>
    <t>Market-wide/Uniform</t>
  </si>
  <si>
    <t>System</t>
  </si>
  <si>
    <t>Situation before Test</t>
  </si>
  <si>
    <t>Total Deposits</t>
  </si>
  <si>
    <t xml:space="preserve">   thereof: Liquid Assets (according to scenario)</t>
  </si>
  <si>
    <t xml:space="preserve">   thereof: Illiquid Assets (according to scenario)</t>
  </si>
  <si>
    <t>Period 1</t>
  </si>
  <si>
    <t>Total Outflow of Funding</t>
  </si>
  <si>
    <t>Outflow of deposits</t>
  </si>
  <si>
    <t>Loss of Wholesale Funding</t>
  </si>
  <si>
    <t>Change of other funding</t>
  </si>
  <si>
    <t>Inflow of Assets (through Fire Sale)</t>
  </si>
  <si>
    <t>Net Cash Inflow since beginning of test</t>
  </si>
  <si>
    <t>Illiquid? (0=no, 1=yes)</t>
  </si>
  <si>
    <t>Period 2</t>
  </si>
  <si>
    <t>Total Outflow of Funding (Day 2)</t>
  </si>
  <si>
    <t>Outflow of deposits (Day 2)</t>
  </si>
  <si>
    <t>Loss of Wholesale Funding (Day 2)</t>
  </si>
  <si>
    <t>Change of other funding (Day 2)</t>
  </si>
  <si>
    <t>Cumulative Outflow of Funding (after Day 2)</t>
  </si>
  <si>
    <t>Cumulative outflow of deposits</t>
  </si>
  <si>
    <t>Cumulative loss of wholesale funding</t>
  </si>
  <si>
    <t>Cumulative change of other funding</t>
  </si>
  <si>
    <t>Period 3</t>
  </si>
  <si>
    <t>Total Outflow of Funding (Day 3)</t>
  </si>
  <si>
    <t>Outflow of deposits (Day 3)</t>
  </si>
  <si>
    <t>Change of other funding (Day 3)</t>
  </si>
  <si>
    <t>Cumulative Outflow of Funding (after Day 3)</t>
  </si>
  <si>
    <t>Period 4</t>
  </si>
  <si>
    <t>Total Outflow of Funding (Day 4)</t>
  </si>
  <si>
    <t>Outflow of deposits (Day 4)</t>
  </si>
  <si>
    <t>Loss of Wholesale Funding (Day 4)</t>
  </si>
  <si>
    <t>Change of other funding (Day 4)</t>
  </si>
  <si>
    <t>Cumulative Outflow of Funding (after Day 4)</t>
  </si>
  <si>
    <t>Period 5</t>
  </si>
  <si>
    <t>Total Outflow of Funding (Day 5)</t>
  </si>
  <si>
    <t>Outflow of deposits (Day 5)</t>
  </si>
  <si>
    <t>Loss of Wholesale Funding (Day 5)</t>
  </si>
  <si>
    <t>Change of other funding (Day 5)</t>
  </si>
  <si>
    <t>Cumulative Outflow of Funding (after Day 5)</t>
  </si>
  <si>
    <t>Total Liquidity Shortfall (0 if no shortfall)</t>
  </si>
  <si>
    <t>Liquid Assets (according to scenario)</t>
  </si>
  <si>
    <t>Illiquid Assets (according to scenario)</t>
  </si>
  <si>
    <t>Day 30</t>
  </si>
  <si>
    <t>Outflow of Wholesale Funding</t>
  </si>
  <si>
    <t>Yes</t>
  </si>
  <si>
    <t>Assets (Total)</t>
  </si>
  <si>
    <t>Stock of High Quality Liquid Assets</t>
  </si>
  <si>
    <t>Total High Quality Assets</t>
  </si>
  <si>
    <t>Total High Quality Assets (percent of Assets)</t>
  </si>
  <si>
    <t>Calculation of potential Cash Outflow</t>
  </si>
  <si>
    <t>Other contractual outflows</t>
  </si>
  <si>
    <t>Total Cash Outflow</t>
  </si>
  <si>
    <t>Calculation of Cash Inflow</t>
  </si>
  <si>
    <t>Minus: portion of amortizing assets re-invested</t>
  </si>
  <si>
    <t>Liquity Coverage Ratio</t>
  </si>
  <si>
    <t>Surplus/Shortfall of Liquidity</t>
  </si>
  <si>
    <t>Number of banks below 1 (i.e. failing the test)</t>
  </si>
  <si>
    <t>Available Stable Funding</t>
  </si>
  <si>
    <t>Total Available Stable Funding</t>
  </si>
  <si>
    <t>Required Stable Funding</t>
  </si>
  <si>
    <t>Total Required Stable Funding</t>
  </si>
  <si>
    <t>Available Funding/Required Funding</t>
  </si>
  <si>
    <t>Inflow of Funds for ICFT (gradual for 5 periods and cumulative one longer period)</t>
  </si>
  <si>
    <t>5 Day Test</t>
  </si>
  <si>
    <t>30 Day Test</t>
  </si>
  <si>
    <t>5 Period Test</t>
  </si>
  <si>
    <t>One single period test</t>
  </si>
  <si>
    <t>Percent outflow per day</t>
  </si>
  <si>
    <t>Cumulative outflow during 30 days (Percent)</t>
  </si>
  <si>
    <t>Remains liquid?</t>
  </si>
  <si>
    <t>Haircut (in case of fire sale)</t>
  </si>
  <si>
    <t>Value after haircut</t>
  </si>
  <si>
    <t>Percent Encumbered - PreTest</t>
  </si>
  <si>
    <t>Additional encumbered (due to margin calls)</t>
  </si>
  <si>
    <t>Percent Unencumbered - Post Test</t>
  </si>
  <si>
    <t>Percent Unencumbered liquid Assets</t>
  </si>
  <si>
    <t>Total deposits</t>
  </si>
  <si>
    <t>No</t>
  </si>
  <si>
    <t>yes</t>
  </si>
  <si>
    <t>Please Enter</t>
  </si>
  <si>
    <t>could also be inflow</t>
  </si>
  <si>
    <t>Note: Long-term funding unlikely to be withdrawn within a few days</t>
  </si>
  <si>
    <t>Contingent Liabilities</t>
  </si>
  <si>
    <t>Outflow of Funds - LCR Test</t>
  </si>
  <si>
    <t>High quality Liquid Assets</t>
  </si>
  <si>
    <t>Outflow of funds</t>
  </si>
  <si>
    <t>NSFR</t>
  </si>
  <si>
    <t>Demand Deposits</t>
  </si>
  <si>
    <t>Term Deposits/UPSIA</t>
  </si>
  <si>
    <t>Long-term funding/ RPSIA</t>
  </si>
  <si>
    <t>RPSIA with maturity less than 30 days</t>
  </si>
  <si>
    <t>Coins and banknotes</t>
  </si>
  <si>
    <t xml:space="preserve">Qualifying central bank reserves (including required reserves). </t>
  </si>
  <si>
    <t xml:space="preserve">• Secured funding transactions with domestic sovereign, PSEs or MDBs that are not backed by Level 1 or 2A assets. </t>
  </si>
  <si>
    <t>Market share in Banking (Assets)</t>
  </si>
  <si>
    <t>Level 1 Assets</t>
  </si>
  <si>
    <t>Level 2A Assets</t>
  </si>
  <si>
    <t>Long-term funding (Sukuk or other)</t>
  </si>
  <si>
    <t>Level 2B Assets</t>
  </si>
  <si>
    <t>ALA treatment</t>
  </si>
  <si>
    <t>Stable retail deposits/UPSIA by natural persons and small businesses</t>
  </si>
  <si>
    <t>Less stable retail deposits/UPSIA by natural persons and small businesses</t>
  </si>
  <si>
    <t>Cooperative IIFS in an institutional network</t>
  </si>
  <si>
    <t>Non-financial corp, sovereigns, central banks, MDBs and PSEs</t>
  </si>
  <si>
    <t>Non-financial corp, sovereigns, central banks, MDBs and PSEs (covered by deposit insurance scheme)</t>
  </si>
  <si>
    <t>Operational Accounts (covered by deposit insurance scheme)</t>
  </si>
  <si>
    <t xml:space="preserve">Other contingent funding liabilities and Shariah compliant hedging  (such as guarantees, letters of credit, revocable credit and liquidity facilities etc) </t>
  </si>
  <si>
    <t>•  Cash; All central bank reserves;all claims on central banks with residual maturities of less than six months; “Trade date” receivables arising from sales of financial instruments, foreign currencies and commodities</t>
  </si>
  <si>
    <t xml:space="preserve">•  Unencumbered Level 1 assets, excluding coins, banknotes and central bank reserves </t>
  </si>
  <si>
    <t>• All other unencumbered financing to financial institutions with residual maturities of less than six months not included in the above categories;  Unencumbered Level 2A assets</t>
  </si>
  <si>
    <t>• Unencumbered residential real estate financing with a residual maturity of one year or more and with a risk weight of less than or equal to 35% under the standardised approach; Other unencumbered financing not included in the above categories, excluding financing to financial institutions, with a residual maturity of one year or more and with a risk weight of less than or equal to 35% under the standardised approach</t>
  </si>
  <si>
    <t>• All assets that are encumbered for a period of one year or more; All other assets not included in the above categories, including non-performing financing, financing to financial institutions with a residual maturity of one year or more, non-exchange-traded equities, fixed assets, items deducted from regulatory capital,  Takāful assets, and defaulted Sharī`ah -compliant securities</t>
  </si>
  <si>
    <t>IIFS1</t>
  </si>
  <si>
    <t>IIFS2</t>
  </si>
  <si>
    <t>IIFS3</t>
  </si>
  <si>
    <t>IIFS4</t>
  </si>
  <si>
    <t>IIFS5</t>
  </si>
  <si>
    <t>System-level Result</t>
  </si>
  <si>
    <t>Total Number of Banks tested</t>
  </si>
  <si>
    <t>Cumulative Total Loss of Funding (Percent of Total, Assumption for test)</t>
  </si>
  <si>
    <t>Minimum number of periods of survival</t>
  </si>
  <si>
    <t>Number of Banks illiquid</t>
  </si>
  <si>
    <t>Survival - Percent of Assets</t>
  </si>
  <si>
    <t>Liquidity Shortfall</t>
  </si>
  <si>
    <t>Liquidity Shortfall as percent of total assets</t>
  </si>
  <si>
    <t>Percent of Assets</t>
  </si>
  <si>
    <t>Cumulative Withdrawal of Deposits (Percent of Total)</t>
  </si>
  <si>
    <t>Cumulative Total Loss of Funding (Percent of Total)</t>
  </si>
  <si>
    <t>Survival</t>
  </si>
  <si>
    <t>Number of Banks</t>
  </si>
  <si>
    <t>Percent of Banks</t>
  </si>
  <si>
    <t>Number of Banks failing the test</t>
  </si>
  <si>
    <t>Percent of total Assets</t>
  </si>
  <si>
    <t>Total High Quality Assets (% of Assets)</t>
  </si>
  <si>
    <t>Liquidity Coverage Ratio</t>
  </si>
  <si>
    <t>Other Cash Inflow (% of Assets)</t>
  </si>
  <si>
    <t>"Not Passed"</t>
  </si>
  <si>
    <t>&lt;0.25</t>
  </si>
  <si>
    <t>Total Cash Inflow (% of Assets)</t>
  </si>
  <si>
    <t>0.25-0.5</t>
  </si>
  <si>
    <t>Total Cash Outflow (% of Assets)</t>
  </si>
  <si>
    <t>0.5-0.75</t>
  </si>
  <si>
    <t>0.75-1</t>
  </si>
  <si>
    <t>Average LCR (weighted-average)</t>
  </si>
  <si>
    <t>"Passed"</t>
  </si>
  <si>
    <t>&gt;1</t>
  </si>
  <si>
    <t xml:space="preserve">Median LCR </t>
  </si>
  <si>
    <t>Available Stable Funding (% of Assets)</t>
  </si>
  <si>
    <t>Net Stable Funding Ratio</t>
  </si>
  <si>
    <t>Required Stable Funding (% of Assets)</t>
  </si>
  <si>
    <t>Average NSFR</t>
  </si>
  <si>
    <t>Median NSFR</t>
  </si>
  <si>
    <t>Percent of total Funding Liabilities</t>
  </si>
  <si>
    <t>Total Short Term Funding (Wholesale)</t>
  </si>
  <si>
    <t>1 Implied Cash Flow Tests</t>
  </si>
  <si>
    <t>5 Period test</t>
  </si>
  <si>
    <t>Outflow of Funding</t>
  </si>
  <si>
    <t>Inflow of funds from fire sales of unencumbered liquid assets (scenario)</t>
  </si>
  <si>
    <t>Percentile</t>
  </si>
  <si>
    <t>Total Assets (Thresold)</t>
  </si>
  <si>
    <t>Total Assets (in Quartile)</t>
  </si>
  <si>
    <t>Percent outflow first period</t>
  </si>
  <si>
    <t>Additional, Period 2</t>
  </si>
  <si>
    <t>Additional, Period 3</t>
  </si>
  <si>
    <t>Additional, Period 4</t>
  </si>
  <si>
    <t>Additional, Period 5</t>
  </si>
  <si>
    <t>Cumulative, 5 Periods</t>
  </si>
  <si>
    <t>Long-term funding</t>
  </si>
  <si>
    <t>4- Result of Stress Tests</t>
  </si>
  <si>
    <t>This version:</t>
  </si>
  <si>
    <t>Methods</t>
  </si>
  <si>
    <t xml:space="preserve">Description </t>
  </si>
  <si>
    <t xml:space="preserve">Shock </t>
  </si>
  <si>
    <t>Type</t>
  </si>
  <si>
    <t>Rationale</t>
  </si>
  <si>
    <t>Liability side</t>
  </si>
  <si>
    <t>Asset side</t>
  </si>
  <si>
    <t>Implied Cash Flow Analysis (ICFA)</t>
  </si>
  <si>
    <t>Substantial (sudden) outflow of funding</t>
  </si>
  <si>
    <t>The ICFA is similar to Liquidity Coverage Test (LCR) under Basel III which was calibrated to IIFS through GN-6 by IFSB.</t>
  </si>
  <si>
    <t>Outflow of 30 percent of funding within a month; 5 percent consecutive outflow during five days</t>
  </si>
  <si>
    <t>Calculation of net cash outflow</t>
  </si>
  <si>
    <t>Application of haircuts for liquid assets used to counterbalance funding gaps</t>
  </si>
  <si>
    <t>Net stable Funding Ratio</t>
  </si>
  <si>
    <t>Calculation of stable funding.</t>
  </si>
  <si>
    <t>Calculation of required stable funding resulting from business activities.</t>
  </si>
  <si>
    <t>Parameters in line with GN-6</t>
  </si>
  <si>
    <t>Parameters in line with GN-6.</t>
  </si>
  <si>
    <t>Fully fledged</t>
  </si>
  <si>
    <t>Total Customer Deposits/UPSIA</t>
  </si>
  <si>
    <t>RPSIA maturity less than 5 days</t>
  </si>
  <si>
    <t>RPSIA maturity less than 30 days</t>
  </si>
  <si>
    <t xml:space="preserve">• Unencumbered Level 2B assets; High-quality liquid assets (HQLA) encumbered for a period of six months or more and less than one year; Financing to financial institutions and central banks with residual maturities between six months and less than one year; Deposits held at other financial institutions for operational purposes; All other assets not included in the above categories with residual maturity of less than one year, including financings to non-financial corporate clients, financing to retail and small business customers, and financing to sovereigns and PSEs </t>
  </si>
  <si>
    <t>• Funding with residual maturity of less than one year provided by non-financial corporate customers; • Operational accounts; • Funding with residual maturity of less than one year from sovereigns, public-sector entities (PSEs), and multilateral and national development banks • Other funding with residual maturity between six months and less than one year not included in the above categories, including funding provided by central banks and financial institutions</t>
  </si>
  <si>
    <t xml:space="preserve">• All other liabilities and equity not included in the above categories, including liabilities without a stated maturity (with a specific treatment for deferred tax liabilities and minority interests); • Net NSFR Sharī`ah-compliant hedging liabilities (if NSFR Sharī`ah-compliant hedging liabilities are greater than NSFR Sharī`ah-compliant hedging  assets); • “Trade date” payables arising from purchases of financial instruments, foreign currencies and commodities </t>
  </si>
  <si>
    <t>• Total regulatory capital (excluding Tier 2 instruments with residual maturity of less than one year); • Other capital instruments and liabilities with effective residual maturity of one year or more</t>
  </si>
  <si>
    <t>A. Retail deposits and PSIA:</t>
  </si>
  <si>
    <t>Demand deposits and term deposits (less than 30 days’ maturity)</t>
  </si>
  <si>
    <t>• Stable deposits (Sharī`ah-compliant deposit insurance scheme meets additional criteria)</t>
  </si>
  <si>
    <t>• Stable deposits</t>
  </si>
  <si>
    <t>• Less stable retail deposits</t>
  </si>
  <si>
    <t>B. Unsecured wholesale funding:</t>
  </si>
  <si>
    <t>Demand and term deposits (less than 30 days’ maturity) provided by small business customers:</t>
  </si>
  <si>
    <t>• Less stable deposits</t>
  </si>
  <si>
    <t>Operational accounts generated by clearing, custody and cash management activities</t>
  </si>
  <si>
    <t>• Portion covered by deposit insurance</t>
  </si>
  <si>
    <t>Cooperative IIFS in an institutional network (qualifying deposits with the centralised institution)</t>
  </si>
  <si>
    <t>Non-financial corporates, sovereigns, central banks, multilateral development banks and PSEs</t>
  </si>
  <si>
    <t>• If the entire amount fully covered by deposit insurance scheme</t>
  </si>
  <si>
    <t>Other legal entity customers</t>
  </si>
  <si>
    <t>C. Secured funding:</t>
  </si>
  <si>
    <t>• Secured funding transactions with a central bank counterparty or backed by Level 1 assets with any counterparty.</t>
  </si>
  <si>
    <t>• Secured funding transactions backed by Level 2A assets, with any counterparty</t>
  </si>
  <si>
    <t>• Secured funding transactions backed by non-Level 1 or non-Level 2A assets, with domestic sovereigns, multilateral development banks or domestic PSEs as a counterparty</t>
  </si>
  <si>
    <t>• Backed by residential mortgage-backed securities (RMBS) eligible for inclusion in Level 2B</t>
  </si>
  <si>
    <t>• All other secured funding transactions</t>
  </si>
  <si>
    <t>D. Additional requirements:[1]</t>
  </si>
  <si>
    <t>Sharī`ah-compliant hedging (Tahawwut)</t>
  </si>
  <si>
    <t>Undrawn credit and liquidity facilities to retail and small business customers</t>
  </si>
  <si>
    <t>Undrawn credit facilities to non-financial corporate, as well as sovereign, central banks, PSEs and multilateral development banks</t>
  </si>
  <si>
    <t>Other contractual obligations extend to financial institution</t>
  </si>
  <si>
    <t>Trade finance</t>
  </si>
  <si>
    <t>Any additional contractual outflows</t>
  </si>
  <si>
    <t>Any other contractual cash outflows</t>
  </si>
  <si>
    <t>Term deposits and RPSIA with residual maturity greater than 30 days</t>
  </si>
  <si>
    <t xml:space="preserve">• Cash, securities or other assets posted as initial margin for Sharī`ah-compliant hedging contracts and cash or other assets provided to contribute to the default fund of a central counterparty; Other unencumbered performing financing with risk weights greater than 35% under the standardised approach and residual maturities of one year or more, excluding financing to financial institutions; Unencumbered securities that are not in default and do not qualify as HQLA with a remaining maturity of one year or more and exchange-traded equitie;Physical traded commodities </t>
  </si>
  <si>
    <t>For Liquidity Coverage Ratio (In Detail)</t>
  </si>
  <si>
    <t xml:space="preserve">Qualifying Sukūk and other Sharī`ah-compliant marketable securities issued or guaranteed by sovereigns, central banks, PSEs, MDBs or relevant international organisations assigned a 0% risk weight for credit risk under IFSB-15 </t>
  </si>
  <si>
    <t>Qualifying domestic currency Sukūk and other Sharī`ah-compliant marketable securities issued by sovereign or central banks that have a non-0% risk weight</t>
  </si>
  <si>
    <t xml:space="preserve">Qualifying foreign currencies’ Sukūk and other Sharī`ah-compliant marketable securities issued by sovereign or central banks that have a non-0% risk weight </t>
  </si>
  <si>
    <t>Sharī`ah-compliant marketable securities issued  or guaranteed by sovereigns, central banks, PSEs, multilateral development banks or relevant international organisations, qualifying for a 20% risk weighting for credit risk under IFSB-15.</t>
  </si>
  <si>
    <t xml:space="preserve">Qualifying Sharī`ah-compliant securities (including commercial paper) and Sukūk that satisfy all of the conditions </t>
  </si>
  <si>
    <t>Qualifying Sukūk and other Sharī`ah-compliant securities</t>
  </si>
  <si>
    <t>Qualifying Sharī`ah-compliant equity shares</t>
  </si>
  <si>
    <t>Qualifying other Sharī`ah-compliant liquidity instruments that are widely recognised in the jurisdictions of the home country</t>
  </si>
  <si>
    <t>Net Cash Outflow</t>
  </si>
  <si>
    <t>D. Additional requirements:</t>
  </si>
  <si>
    <t>Implied Cash Flow Tests (ICFT)</t>
  </si>
  <si>
    <t>Retail Deposit and Small Business Customer</t>
  </si>
  <si>
    <t>2- Liquidity Coverage Ratio</t>
  </si>
  <si>
    <t>Total High Quality Liquid Asset</t>
  </si>
  <si>
    <t>2- Net Stable Funding Ratio</t>
  </si>
  <si>
    <t>Haircuts for different types of assets based on their characteristics (Level 1, level 2A and 2B)</t>
  </si>
  <si>
    <t>Test 1-a: Cash Flow Test: Simulation of a run on deposits - 5 day test</t>
  </si>
  <si>
    <t>Test 1-b: Implied Cash Flow Test: Simulation of a run on deposits - 30 day test</t>
  </si>
  <si>
    <t>Test 3: Net Stable Funding Ratio (NSFR)</t>
  </si>
  <si>
    <t>Test 2: Liquidity Coverage Ratio (LCR) Stress Test</t>
  </si>
  <si>
    <t>Test 1-a Implied Cash Flow Test (5 Days)</t>
  </si>
  <si>
    <t>Test 1-b: Implied Cash Flow Test (30 Days)</t>
  </si>
  <si>
    <t>Test 2: Liquidity Coverage Ratio (LCR)</t>
  </si>
  <si>
    <t xml:space="preserve">Outflow of retail deposits </t>
  </si>
  <si>
    <t>Domestic Currency</t>
  </si>
  <si>
    <t>Foreign Currency</t>
  </si>
  <si>
    <t>USD</t>
  </si>
  <si>
    <t>EUR</t>
  </si>
  <si>
    <t>YEN</t>
  </si>
  <si>
    <t>Wholesale Customer</t>
  </si>
  <si>
    <r>
      <t xml:space="preserve">Qualifying </t>
    </r>
    <r>
      <rPr>
        <i/>
        <sz val="10"/>
        <color rgb="FF000000"/>
        <rFont val="Calibri"/>
        <family val="2"/>
        <scheme val="minor"/>
      </rPr>
      <t>Sukūk</t>
    </r>
    <r>
      <rPr>
        <sz val="10"/>
        <color rgb="FF000000"/>
        <rFont val="Calibri"/>
        <family val="2"/>
        <scheme val="minor"/>
      </rPr>
      <t xml:space="preserve"> and other </t>
    </r>
    <r>
      <rPr>
        <i/>
        <sz val="10"/>
        <color rgb="FF000000"/>
        <rFont val="Calibri"/>
        <family val="2"/>
        <scheme val="minor"/>
      </rPr>
      <t>Sharī`ah-</t>
    </r>
    <r>
      <rPr>
        <sz val="10"/>
        <color rgb="FF000000"/>
        <rFont val="Calibri"/>
        <family val="2"/>
        <scheme val="minor"/>
      </rPr>
      <t xml:space="preserve">compliant marketable securities issued or guaranteed by sovereigns, central banks, PSEs, MDBs or relevant international organisations assigned a 0% risk weight for credit risk under IFSB-15 </t>
    </r>
  </si>
  <si>
    <r>
      <t xml:space="preserve">Qualifying domestic currency </t>
    </r>
    <r>
      <rPr>
        <i/>
        <sz val="10"/>
        <color rgb="FF000000"/>
        <rFont val="Calibri"/>
        <family val="2"/>
        <scheme val="minor"/>
      </rPr>
      <t>Sukūk</t>
    </r>
    <r>
      <rPr>
        <sz val="10"/>
        <color rgb="FF000000"/>
        <rFont val="Calibri"/>
        <family val="2"/>
        <scheme val="minor"/>
      </rPr>
      <t xml:space="preserve"> and other </t>
    </r>
    <r>
      <rPr>
        <i/>
        <sz val="10"/>
        <color rgb="FF000000"/>
        <rFont val="Calibri"/>
        <family val="2"/>
        <scheme val="minor"/>
      </rPr>
      <t>Sharī`ah-</t>
    </r>
    <r>
      <rPr>
        <sz val="10"/>
        <color rgb="FF000000"/>
        <rFont val="Calibri"/>
        <family val="2"/>
        <scheme val="minor"/>
      </rPr>
      <t>compliant marketable securities issued by sovereign or central banks that have a non-0% risk weight</t>
    </r>
  </si>
  <si>
    <r>
      <t xml:space="preserve">Qualifying foreign currencies’ </t>
    </r>
    <r>
      <rPr>
        <i/>
        <sz val="10"/>
        <color rgb="FF000000"/>
        <rFont val="Calibri"/>
        <family val="2"/>
        <scheme val="minor"/>
      </rPr>
      <t>Sukūk</t>
    </r>
    <r>
      <rPr>
        <sz val="10"/>
        <color rgb="FF000000"/>
        <rFont val="Calibri"/>
        <family val="2"/>
        <scheme val="minor"/>
      </rPr>
      <t xml:space="preserve"> and other </t>
    </r>
    <r>
      <rPr>
        <i/>
        <sz val="10"/>
        <color rgb="FF000000"/>
        <rFont val="Calibri"/>
        <family val="2"/>
        <scheme val="minor"/>
      </rPr>
      <t>Sharī`ah-</t>
    </r>
    <r>
      <rPr>
        <sz val="10"/>
        <color rgb="FF000000"/>
        <rFont val="Calibri"/>
        <family val="2"/>
        <scheme val="minor"/>
      </rPr>
      <t xml:space="preserve">compliant marketable securities issued by sovereign or central banks that have a non-0% risk weight </t>
    </r>
  </si>
  <si>
    <r>
      <rPr>
        <i/>
        <sz val="10"/>
        <color rgb="FF000000"/>
        <rFont val="Calibri"/>
        <family val="2"/>
        <scheme val="minor"/>
      </rPr>
      <t>Sharī`ah</t>
    </r>
    <r>
      <rPr>
        <sz val="10"/>
        <color rgb="FF000000"/>
        <rFont val="Calibri"/>
        <family val="2"/>
        <scheme val="minor"/>
      </rPr>
      <t>-compliant marketable securities issued  or guaranteed by sovereigns, central banks, PSEs, multilateral development banks or relevant international organisations, qualifying for a 20% risk weighting for credit risk under IFSB-15.</t>
    </r>
  </si>
  <si>
    <r>
      <t xml:space="preserve">Qualifying </t>
    </r>
    <r>
      <rPr>
        <i/>
        <sz val="10"/>
        <color rgb="FF000000"/>
        <rFont val="Calibri"/>
        <family val="2"/>
        <scheme val="minor"/>
      </rPr>
      <t>Sharī`ah</t>
    </r>
    <r>
      <rPr>
        <sz val="10"/>
        <color rgb="FF000000"/>
        <rFont val="Calibri"/>
        <family val="2"/>
        <scheme val="minor"/>
      </rPr>
      <t xml:space="preserve">-compliant securities (including commercial paper) and </t>
    </r>
    <r>
      <rPr>
        <i/>
        <sz val="10"/>
        <color rgb="FF000000"/>
        <rFont val="Calibri"/>
        <family val="2"/>
        <scheme val="minor"/>
      </rPr>
      <t>Sukūk</t>
    </r>
    <r>
      <rPr>
        <sz val="10"/>
        <color rgb="FF000000"/>
        <rFont val="Calibri"/>
        <family val="2"/>
        <scheme val="minor"/>
      </rPr>
      <t xml:space="preserve"> that satisfy all of the conditions </t>
    </r>
  </si>
  <si>
    <r>
      <t xml:space="preserve">Qualifying </t>
    </r>
    <r>
      <rPr>
        <i/>
        <sz val="10"/>
        <color rgb="FF000000"/>
        <rFont val="Calibri"/>
        <family val="2"/>
        <scheme val="minor"/>
      </rPr>
      <t>Sukūk</t>
    </r>
    <r>
      <rPr>
        <sz val="10"/>
        <color rgb="FF000000"/>
        <rFont val="Calibri"/>
        <family val="2"/>
        <scheme val="minor"/>
      </rPr>
      <t xml:space="preserve"> and other </t>
    </r>
    <r>
      <rPr>
        <i/>
        <sz val="10"/>
        <color rgb="FF000000"/>
        <rFont val="Calibri"/>
        <family val="2"/>
        <scheme val="minor"/>
      </rPr>
      <t>Sharī`ah</t>
    </r>
    <r>
      <rPr>
        <sz val="10"/>
        <color rgb="FF000000"/>
        <rFont val="Calibri"/>
        <family val="2"/>
        <scheme val="minor"/>
      </rPr>
      <t>-compliant securities</t>
    </r>
  </si>
  <si>
    <r>
      <t xml:space="preserve">Qualifying </t>
    </r>
    <r>
      <rPr>
        <i/>
        <sz val="10"/>
        <color rgb="FF000000"/>
        <rFont val="Calibri"/>
        <family val="2"/>
        <scheme val="minor"/>
      </rPr>
      <t>Sharī`ah</t>
    </r>
    <r>
      <rPr>
        <sz val="10"/>
        <color rgb="FF000000"/>
        <rFont val="Calibri"/>
        <family val="2"/>
        <scheme val="minor"/>
      </rPr>
      <t>-compliant equity shares</t>
    </r>
  </si>
  <si>
    <r>
      <t xml:space="preserve">Qualifying other </t>
    </r>
    <r>
      <rPr>
        <i/>
        <sz val="10"/>
        <color rgb="FF000000"/>
        <rFont val="Calibri"/>
        <family val="2"/>
        <scheme val="minor"/>
      </rPr>
      <t>Sharī`ah</t>
    </r>
    <r>
      <rPr>
        <sz val="10"/>
        <color rgb="FF000000"/>
        <rFont val="Calibri"/>
        <family val="2"/>
        <scheme val="minor"/>
      </rPr>
      <t>-compliant liquidity instruments that are widely recognised in the jurisdictions of the home country</t>
    </r>
  </si>
  <si>
    <r>
      <t xml:space="preserve">• Cash, securities or other assets posted as initial margin for </t>
    </r>
    <r>
      <rPr>
        <i/>
        <sz val="10"/>
        <color rgb="FF000000"/>
        <rFont val="Calibri"/>
        <family val="2"/>
        <scheme val="minor"/>
      </rPr>
      <t>Sharī`ah</t>
    </r>
    <r>
      <rPr>
        <sz val="10"/>
        <color rgb="FF000000"/>
        <rFont val="Calibri"/>
        <family val="2"/>
        <scheme val="minor"/>
      </rPr>
      <t xml:space="preserve">-compliant hedging contracts and cash or other assets provided to contribute to the default fund of a central counterparty; Other unencumbered performing financing with risk weights greater than 35% under the standardised approach and residual maturities of one year or more, excluding financing to financial institutions; Unencumbered securities that are not in default and do not qualify as HQLA with a remaining maturity of one year or more and exchange-traded equitie;Physical traded commodities </t>
    </r>
  </si>
  <si>
    <t>Short term Funding</t>
  </si>
  <si>
    <t>Outflow of RPSIA</t>
  </si>
  <si>
    <t>Cumulative change of RPSIA</t>
  </si>
  <si>
    <t>30 Period Test</t>
  </si>
  <si>
    <t>Net outflow of Funding</t>
  </si>
  <si>
    <t>Total inflow of Funds</t>
  </si>
  <si>
    <t>Cumulative outflow during 30 Periods (Percent)</t>
  </si>
  <si>
    <t xml:space="preserve">Level 1 </t>
  </si>
  <si>
    <t>Outflow of unsecured wholesale funding</t>
  </si>
  <si>
    <t>Outflow from secured funding</t>
  </si>
  <si>
    <t>Level 2</t>
  </si>
  <si>
    <t>ALA Treatment</t>
  </si>
  <si>
    <t>Apply cap on Level 2 liquid assets (to %40 of Level 1 liquid assets)?</t>
  </si>
  <si>
    <t>Outflow from RPSIA</t>
  </si>
  <si>
    <t>Total Cash Inflows (Amounts from retail and wholesale counterparts)</t>
  </si>
  <si>
    <t>Portion of assets reinvested</t>
  </si>
  <si>
    <t>Cumulative Loss of Short Term Funding (Percent of Total, Assumption for test)</t>
  </si>
  <si>
    <t>Cumulative Withdrawal of Deposits/PSIA (Percent of Total, Assumptions for test)</t>
  </si>
  <si>
    <t>Cumulative Total Loss of RPSIA (Percent of Total, Assumption for test)</t>
  </si>
  <si>
    <t>Survival -Percent of IIFS</t>
  </si>
  <si>
    <t>Number of IIFS passing test through period 5</t>
  </si>
  <si>
    <t>Number of IIFS failing the test</t>
  </si>
  <si>
    <t>Cumulative Loss of Short TermFunding (Percent of Total)</t>
  </si>
  <si>
    <t>5- Calculation</t>
  </si>
  <si>
    <t>6- Summary of the Aggregate Outcome of Liquidity Analysis</t>
  </si>
  <si>
    <t>Test 2.2: Maturity Mismatch/Rollover Analysis</t>
  </si>
  <si>
    <t>Test 2.2.A: "Descriptive maturity mismatch analysis" (no consideration of rollover)</t>
  </si>
  <si>
    <t>Cumulative number of banks with Shortfall</t>
  </si>
  <si>
    <t>Liabilities</t>
  </si>
  <si>
    <t>Interbank liabilities (Roll-over risk)</t>
  </si>
  <si>
    <t>Long-term liabilities (Roll-over risk)</t>
  </si>
  <si>
    <t>Other on-balance sheet funding liabilities (Roll-over risk)</t>
  </si>
  <si>
    <t>Off-balance sheet liabilities (Roll-over risk)</t>
  </si>
  <si>
    <t>Off-balance sheet assets</t>
  </si>
  <si>
    <t>Deposits (Rollover Risk)/PSIA</t>
  </si>
  <si>
    <t>Less than 3 months</t>
  </si>
  <si>
    <t>3 to 12 months</t>
  </si>
  <si>
    <t>1 to 5 years</t>
  </si>
  <si>
    <t>More than 5 years</t>
  </si>
  <si>
    <t>Bucket</t>
  </si>
  <si>
    <t>Shortfall (Percent of total Assets)</t>
  </si>
  <si>
    <t>Test 4: Net Stable Funding Ratio (NSFR)</t>
  </si>
  <si>
    <t>Simulation of funding subject to rollover.</t>
  </si>
  <si>
    <t>Simulation of compensation of loss of funding by liquid assets under specific assumptions.</t>
  </si>
  <si>
    <t>20 percent of funding maturiting during the next 12 months cannot be rolled over.</t>
  </si>
  <si>
    <t xml:space="preserve">How much deleveraging is necessary to stay liquid </t>
  </si>
  <si>
    <t>Maturity Mismatch Analysis</t>
  </si>
  <si>
    <t>Increase in outflows and decrease in inflows; parameters for roll over are set by stress tester</t>
  </si>
  <si>
    <t>Day 1</t>
  </si>
  <si>
    <t>Day 2</t>
  </si>
  <si>
    <t>Day 3</t>
  </si>
  <si>
    <t>Day 4</t>
  </si>
  <si>
    <t>Day 5</t>
  </si>
  <si>
    <t>Test 3: Maturity mismatch analysis</t>
  </si>
  <si>
    <t>Cumulative no. of IIFS with shortfall</t>
  </si>
  <si>
    <t>Cash, Government Sukuk</t>
  </si>
  <si>
    <t>Trading Assets</t>
  </si>
  <si>
    <t>Financing</t>
  </si>
  <si>
    <t>Shortfall in first 1 maturity buckets? (0='No', 1='Yes')</t>
  </si>
  <si>
    <t>Broad (Liabilities and Assets)</t>
  </si>
  <si>
    <t>Portion of liabilities that can be/are rolled over</t>
  </si>
  <si>
    <t>Haircut (resulting from margin calls, etc.)</t>
  </si>
  <si>
    <t>Liabilities rolled over</t>
  </si>
  <si>
    <t>Percent of assets that are renewed</t>
  </si>
  <si>
    <t>Change in value</t>
  </si>
  <si>
    <t>Assets carried forward</t>
  </si>
  <si>
    <t>Haircut for liabilities that can be rolled over</t>
  </si>
  <si>
    <t>RPSIA with maturity less than 5 days</t>
  </si>
  <si>
    <t>1. Overview on Liquidity Stress Test Framework for IIFS</t>
  </si>
  <si>
    <t>LIQUIDITY RISK</t>
  </si>
  <si>
    <t>2- Inputs for the Tests</t>
  </si>
  <si>
    <t>3- Assumptions for the Tests</t>
  </si>
  <si>
    <t>The liqudity stress test framework for IIFS is derived from Martin Cihak's (2007) stress test template (higher granularity, particularly on the assets side, use of haircuts) and Schmieder et. al. (2012) next generation stress tester [for liquidity coverage ratio (LCR) and net stable funding ratio (NSFR)], taking into account the pecularities of IIFS. The framework consists of four modules: Implied Cash Flows (5 days &amp; 30 days), maturity mismatch analysis, LCR and NSFR, incorporating recent regulatory framework for liquidity risk (LCR and NSFR) for liquidity stress tests.</t>
  </si>
  <si>
    <t>The ICFA is similar to Liquidity Coverage Ratio (LCR) under Basel III which was calibrated to IIFS through GN-6 by IFSB.</t>
  </si>
  <si>
    <t>10 percent of assets are liquid (cash, government securities, Sukuk); 90 percent of liquid assets are unencumbered; Haircuts of 0 percent (cash), 5 percent (sovereign Shari'ah compliant instruments/Sukuk), 10 percent (Other Sukuk)</t>
  </si>
  <si>
    <t xml:space="preserve">Comparison of the maturity structure of assets and liabilities to identify funding gaps under different scenarios. </t>
  </si>
  <si>
    <t>The net stable funding ratio is part of the liquidity test to be introduced as part of Basel III / GN-6 and assesses the stability of a bank's funding sources in more structural terms.</t>
  </si>
  <si>
    <t xml:space="preserve">Modification of liquidity test based on Cihak (2007) and Schimeder et. al (2012) next generation stress tester based on the pecularities of IIFS (higher granularity, particularly on the assets side, use of haircuts) . </t>
  </si>
  <si>
    <t>Data from Financial Statements, Regulatory Data</t>
  </si>
  <si>
    <t>• Backed by Sharī`ah-compliant residential mortgage-backed securities (RMBS) eligible for inclusion in Level 2B</t>
  </si>
  <si>
    <t>Government Sukuk &amp; Treasury Instruments and other exposure with 0% risk-weighting</t>
  </si>
  <si>
    <t>Hedging Products</t>
  </si>
  <si>
    <t xml:space="preserve">Planned outflows related to renewal or extension of new financing (retail or wholesale) </t>
  </si>
  <si>
    <t>Scheduled cash inflows during next 30 days</t>
  </si>
  <si>
    <t>Investments in HQLA for RPSIA</t>
  </si>
  <si>
    <t>Outflow of Funds (5 and 30 days)</t>
  </si>
  <si>
    <t>Fine-granular maturity buckets</t>
  </si>
  <si>
    <t>Trading Assets, Hedging Contracts and Securities</t>
  </si>
  <si>
    <t>30 Days Test</t>
  </si>
  <si>
    <t>Retail Deposits</t>
  </si>
  <si>
    <t>Wholesale deposits</t>
  </si>
  <si>
    <t>Retail UPSIA</t>
  </si>
  <si>
    <t>Wholesale UPSIA</t>
  </si>
  <si>
    <t>Average Term Deposit / UPSIA Withdrawal</t>
  </si>
  <si>
    <t>Purpose of the test: Simulation of (i) Three notch downgrade in rating, (ii) Run-off of a proportion of retail deposits, (iii) Loss of unsecured wholesale funding, reduction of secured wholesale term funding; (iv) Loss of secured short-term funding for all but high quality liquid assets; (v) Requirement of higher collateral haircuts and/or more collateral to satisfy hedging positions; (vi) Draws of committed but unused credit and liquidity facilities; (vii) Need to fund balance sheet growth to mitigate reputational risk</t>
  </si>
  <si>
    <t>Retail Term Deposits/UPSIA</t>
  </si>
  <si>
    <t>Not assigned</t>
  </si>
  <si>
    <t>Tier 1 Capital</t>
  </si>
  <si>
    <t>Asset backed assets</t>
  </si>
  <si>
    <t>Equities</t>
  </si>
  <si>
    <t>Other assets</t>
  </si>
  <si>
    <t xml:space="preserve">Domestic Currency </t>
  </si>
  <si>
    <t/>
  </si>
  <si>
    <t>Demand deposits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</si>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</sst>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0.0%"/>
    <numFmt numFmtId="166" formatCode="#,##0.0"/>
    <numFmt numFmtId="167" formatCode="_-* #,##0_-;\-* #,##0_-;_-* &quot;-&quot;??_-;_-@_-"/>
    <numFmt numFmtId="168" formatCode="[$-14409]d\ mmmm\,\ yyyy;@"/>
  </numFmts>
  <fonts count="47" x14ac:knownFonts="1">
    <font>
      <sz val="11"/>
      <color theme="1"/>
      <name val="Calibri"/>
      <family val="2"/>
      <scheme val="minor"/>
    </font>
    <font>
      <sz val="10"/>
      <color theme="1"/>
      <name val="Arial"/>
      <family val="2"/>
    </font>
    <font>
      <sz val="10"/>
      <name val="Arial"/>
      <family val="2"/>
    </font>
    <font>
      <b/>
      <sz val="10"/>
      <name val="Arial"/>
      <family val="2"/>
    </font>
    <font>
      <sz val="10"/>
      <color rgb="FFFF0000"/>
      <name val="Arial"/>
      <family val="2"/>
    </font>
    <font>
      <u/>
      <sz val="10"/>
      <color theme="10"/>
      <name val="Arial"/>
      <family val="2"/>
    </font>
    <font>
      <b/>
      <sz val="11"/>
      <name val="Arial"/>
      <family val="2"/>
    </font>
    <font>
      <b/>
      <sz val="12"/>
      <color theme="0"/>
      <name val="Arial"/>
      <family val="2"/>
    </font>
    <font>
      <sz val="10"/>
      <name val="Times New Roman"/>
      <family val="1"/>
    </font>
    <font>
      <sz val="10"/>
      <name val="Arial"/>
      <family val="2"/>
    </font>
    <font>
      <sz val="11"/>
      <color theme="4"/>
      <name val="Calibri"/>
      <family val="2"/>
      <scheme val="minor"/>
    </font>
    <font>
      <b/>
      <sz val="10"/>
      <color indexed="10"/>
      <name val="Arial"/>
      <family val="2"/>
    </font>
    <font>
      <b/>
      <sz val="10"/>
      <color theme="0"/>
      <name val="Arial"/>
      <family val="2"/>
    </font>
    <font>
      <b/>
      <sz val="11"/>
      <color rgb="FF3F3F3F"/>
      <name val="Calibri"/>
      <family val="2"/>
      <scheme val="minor"/>
    </font>
    <font>
      <b/>
      <sz val="12"/>
      <name val="Arial"/>
      <family val="2"/>
    </font>
    <font>
      <sz val="10"/>
      <name val="Calibri"/>
      <family val="2"/>
      <scheme val="minor"/>
    </font>
    <font>
      <b/>
      <sz val="10"/>
      <name val="Calibri"/>
      <family val="2"/>
      <scheme val="minor"/>
    </font>
    <font>
      <sz val="10"/>
      <color rgb="FF000000"/>
      <name val="Calibri"/>
      <family val="2"/>
      <scheme val="minor"/>
    </font>
    <font>
      <b/>
      <sz val="10"/>
      <color rgb="FF000000"/>
      <name val="Calibri"/>
      <family val="2"/>
      <scheme val="minor"/>
    </font>
    <font>
      <sz val="10"/>
      <color theme="1"/>
      <name val="Calibri"/>
      <family val="2"/>
      <scheme val="minor"/>
    </font>
    <font>
      <i/>
      <sz val="10"/>
      <color rgb="FF000000"/>
      <name val="Calibri"/>
      <family val="2"/>
      <scheme val="minor"/>
    </font>
    <font>
      <b/>
      <sz val="10"/>
      <color theme="1"/>
      <name val="Calibri"/>
      <family val="2"/>
      <scheme val="minor"/>
    </font>
    <font>
      <b/>
      <sz val="12"/>
      <color theme="0"/>
      <name val="Calibri"/>
      <family val="2"/>
      <scheme val="minor"/>
    </font>
    <font>
      <i/>
      <sz val="10"/>
      <name val="Calibri"/>
      <family val="2"/>
      <scheme val="minor"/>
    </font>
    <font>
      <b/>
      <i/>
      <sz val="10"/>
      <name val="Calibri"/>
      <family val="2"/>
      <scheme val="minor"/>
    </font>
    <font>
      <b/>
      <sz val="12"/>
      <name val="Calibri"/>
      <family val="2"/>
      <scheme val="minor"/>
    </font>
    <font>
      <b/>
      <sz val="10"/>
      <color indexed="9"/>
      <name val="Calibri"/>
      <family val="2"/>
      <scheme val="minor"/>
    </font>
    <font>
      <sz val="10"/>
      <color rgb="FFFF0000"/>
      <name val="Calibri"/>
      <family val="2"/>
      <scheme val="minor"/>
    </font>
    <font>
      <b/>
      <sz val="10"/>
      <color rgb="FFFF0000"/>
      <name val="Calibri"/>
      <family val="2"/>
      <scheme val="minor"/>
    </font>
    <font>
      <b/>
      <sz val="10"/>
      <color rgb="FFC00000"/>
      <name val="Calibri"/>
      <family val="2"/>
      <scheme val="minor"/>
    </font>
    <font>
      <sz val="11"/>
      <color theme="1"/>
      <name val="Calibri"/>
      <family val="2"/>
      <scheme val="minor"/>
    </font>
    <font>
      <sz val="11"/>
      <color theme="0"/>
      <name val="Calibri"/>
      <family val="2"/>
      <scheme val="minor"/>
    </font>
    <font>
      <sz val="11"/>
      <color rgb="FFC00000"/>
      <name val="Calibri"/>
      <family val="2"/>
      <scheme val="minor"/>
    </font>
    <font>
      <b/>
      <sz val="10"/>
      <color rgb="FFC00000"/>
      <name val="Arial"/>
      <family val="2"/>
    </font>
    <font>
      <b/>
      <sz val="11"/>
      <color theme="0"/>
      <name val="Calibri"/>
      <family val="2"/>
      <scheme val="minor"/>
    </font>
    <font>
      <b/>
      <sz val="11"/>
      <name val="Calibri"/>
      <family val="2"/>
      <scheme val="minor"/>
    </font>
    <font>
      <sz val="11"/>
      <color rgb="FF9C0006"/>
      <name val="Calibri"/>
      <family val="2"/>
      <scheme val="minor"/>
    </font>
    <font>
      <b/>
      <sz val="12"/>
      <color theme="1"/>
      <name val="Calibri"/>
      <family val="2"/>
      <scheme val="minor"/>
    </font>
    <font>
      <b/>
      <sz val="14"/>
      <name val="Arial"/>
      <family val="2"/>
    </font>
    <font>
      <b/>
      <sz val="10"/>
      <color rgb="FFFF0000"/>
      <name val="Arial"/>
      <family val="2"/>
    </font>
    <font>
      <sz val="11"/>
      <color rgb="FF9C0006"/>
      <name val="Arial"/>
      <family val="2"/>
    </font>
    <font>
      <b/>
      <sz val="10"/>
      <color theme="1"/>
      <name val="Arial"/>
      <family val="2"/>
    </font>
    <font>
      <sz val="10"/>
      <color indexed="10"/>
      <name val="Arial"/>
      <family val="2"/>
    </font>
    <font>
      <i/>
      <sz val="10"/>
      <name val="Arial"/>
      <family val="2"/>
    </font>
    <font>
      <sz val="10"/>
      <color indexed="8"/>
      <name val="Arial"/>
      <family val="2"/>
    </font>
    <font>
      <sz val="11"/>
      <color theme="1"/>
      <name val="Arial"/>
      <family val="2"/>
    </font>
    <font>
      <b/>
      <i/>
      <sz val="10"/>
      <name val="Arial"/>
      <family val="2"/>
    </font>
  </fonts>
  <fills count="36">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indexed="22"/>
        <bgColor indexed="64"/>
      </patternFill>
    </fill>
    <fill>
      <patternFill patternType="solid">
        <fgColor indexed="52"/>
        <bgColor indexed="64"/>
      </patternFill>
    </fill>
    <fill>
      <patternFill patternType="solid">
        <fgColor indexed="44"/>
        <bgColor indexed="64"/>
      </patternFill>
    </fill>
    <fill>
      <patternFill patternType="solid">
        <fgColor rgb="FFFFFF00"/>
        <bgColor indexed="64"/>
      </patternFill>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theme="0" tint="-0.249977111117893"/>
        <bgColor indexed="64"/>
      </patternFill>
    </fill>
    <fill>
      <patternFill patternType="solid">
        <fgColor indexed="23"/>
        <bgColor indexed="64"/>
      </patternFill>
    </fill>
    <fill>
      <patternFill patternType="solid">
        <fgColor theme="0" tint="-0.14999847407452621"/>
        <bgColor indexed="64"/>
      </patternFill>
    </fill>
    <fill>
      <patternFill patternType="solid">
        <fgColor rgb="FF99CCFF"/>
        <bgColor indexed="64"/>
      </patternFill>
    </fill>
    <fill>
      <patternFill patternType="solid">
        <fgColor rgb="FFFFCCCC"/>
        <bgColor indexed="64"/>
      </patternFill>
    </fill>
    <fill>
      <patternFill patternType="solid">
        <fgColor indexed="45"/>
        <bgColor indexed="64"/>
      </patternFill>
    </fill>
    <fill>
      <patternFill patternType="solid">
        <fgColor theme="0"/>
        <bgColor indexed="64"/>
      </patternFill>
    </fill>
    <fill>
      <patternFill patternType="solid">
        <fgColor rgb="FFFF5050"/>
        <bgColor indexed="64"/>
      </patternFill>
    </fill>
    <fill>
      <patternFill patternType="solid">
        <fgColor indexed="53"/>
        <bgColor indexed="64"/>
      </patternFill>
    </fill>
    <fill>
      <patternFill patternType="solid">
        <fgColor indexed="51"/>
        <bgColor indexed="64"/>
      </patternFill>
    </fill>
    <fill>
      <patternFill patternType="solid">
        <fgColor indexed="50"/>
        <bgColor indexed="64"/>
      </patternFill>
    </fill>
    <fill>
      <patternFill patternType="solid">
        <fgColor indexed="57"/>
        <bgColor indexed="64"/>
      </patternFill>
    </fill>
    <fill>
      <patternFill patternType="solid">
        <fgColor theme="3" tint="-0.49998474074526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rgb="FFF2F2F2"/>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CC99"/>
      </patternFill>
    </fill>
    <fill>
      <patternFill patternType="solid">
        <fgColor theme="9"/>
      </patternFill>
    </fill>
    <fill>
      <patternFill patternType="solid">
        <fgColor rgb="FFFFC7CE"/>
      </patternFill>
    </fill>
  </fills>
  <borders count="4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8">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164" fontId="2" fillId="0" borderId="0" applyFont="0" applyFill="0" applyBorder="0" applyAlignment="0" applyProtection="0"/>
    <xf numFmtId="9" fontId="8" fillId="0" borderId="0" applyFont="0" applyFill="0" applyBorder="0" applyAlignment="0" applyProtection="0"/>
    <xf numFmtId="0" fontId="9" fillId="0" borderId="0"/>
    <xf numFmtId="0" fontId="13" fillId="30" borderId="22" applyNumberFormat="0" applyAlignment="0" applyProtection="0"/>
    <xf numFmtId="0" fontId="14" fillId="0" borderId="0" applyNumberFormat="0" applyFill="0" applyBorder="0" applyAlignment="0" applyProtection="0"/>
    <xf numFmtId="0" fontId="2" fillId="9" borderId="8" applyNumberFormat="0" applyFont="0" applyBorder="0" applyProtection="0">
      <alignment horizontal="left" vertical="center"/>
    </xf>
    <xf numFmtId="9" fontId="30" fillId="0" borderId="0" applyFont="0" applyFill="0" applyBorder="0" applyAlignment="0" applyProtection="0"/>
    <xf numFmtId="0" fontId="31" fillId="34" borderId="0" applyNumberFormat="0" applyBorder="0" applyAlignment="0" applyProtection="0"/>
    <xf numFmtId="4" fontId="32" fillId="33" borderId="23">
      <alignment horizontal="left"/>
    </xf>
    <xf numFmtId="0" fontId="36" fillId="35" borderId="0" applyNumberFormat="0" applyBorder="0" applyAlignment="0" applyProtection="0"/>
  </cellStyleXfs>
  <cellXfs count="947">
    <xf numFmtId="0" fontId="0" fillId="0" borderId="0" xfId="0"/>
    <xf numFmtId="3" fontId="2" fillId="0" borderId="0" xfId="1" applyNumberFormat="1" applyAlignment="1">
      <alignment horizontal="right"/>
    </xf>
    <xf numFmtId="3" fontId="2" fillId="0" borderId="0" xfId="1" applyNumberFormat="1" applyBorder="1" applyAlignment="1">
      <alignment horizontal="right"/>
    </xf>
    <xf numFmtId="3" fontId="3" fillId="0" borderId="0" xfId="1" applyNumberFormat="1" applyFont="1" applyAlignment="1">
      <alignment horizontal="center"/>
    </xf>
    <xf numFmtId="1" fontId="2" fillId="0" borderId="0" xfId="1" applyNumberFormat="1" applyAlignment="1">
      <alignment horizontal="center"/>
    </xf>
    <xf numFmtId="3" fontId="2" fillId="0" borderId="0" xfId="1" applyNumberFormat="1" applyAlignment="1">
      <alignment horizontal="center"/>
    </xf>
    <xf numFmtId="3" fontId="3" fillId="0" borderId="0" xfId="1" applyNumberFormat="1" applyFont="1" applyFill="1" applyAlignment="1">
      <alignment horizontal="center"/>
    </xf>
    <xf numFmtId="3" fontId="3" fillId="0" borderId="0" xfId="1" applyNumberFormat="1" applyFont="1" applyAlignment="1">
      <alignment horizontal="right"/>
    </xf>
    <xf numFmtId="3" fontId="2" fillId="0" borderId="0" xfId="1" applyNumberFormat="1" applyFill="1" applyBorder="1" applyAlignment="1">
      <alignment horizontal="right"/>
    </xf>
    <xf numFmtId="3" fontId="2" fillId="0" borderId="0" xfId="1" applyNumberFormat="1" applyFill="1" applyAlignment="1">
      <alignment horizontal="right"/>
    </xf>
    <xf numFmtId="3" fontId="2" fillId="0" borderId="0" xfId="1" applyNumberFormat="1" applyFont="1" applyAlignment="1">
      <alignment horizontal="right"/>
    </xf>
    <xf numFmtId="0" fontId="2" fillId="0" borderId="0" xfId="1"/>
    <xf numFmtId="0" fontId="2" fillId="0" borderId="0" xfId="1" applyFill="1"/>
    <xf numFmtId="0" fontId="3" fillId="0" borderId="0" xfId="1" applyFont="1" applyFill="1" applyBorder="1"/>
    <xf numFmtId="0" fontId="2" fillId="0" borderId="0" xfId="1" applyFont="1" applyFill="1" applyBorder="1"/>
    <xf numFmtId="0" fontId="6" fillId="0" borderId="0" xfId="1" applyFont="1" applyFill="1" applyBorder="1" applyAlignment="1">
      <alignment horizontal="left"/>
    </xf>
    <xf numFmtId="0" fontId="3" fillId="0" borderId="0" xfId="1" applyFont="1" applyFill="1" applyBorder="1" applyAlignment="1">
      <alignment horizontal="center" wrapText="1"/>
    </xf>
    <xf numFmtId="0" fontId="2" fillId="0" borderId="0" xfId="1" applyFill="1" applyBorder="1"/>
    <xf numFmtId="0" fontId="2" fillId="0" borderId="0" xfId="1" applyFill="1" applyBorder="1" applyAlignment="1">
      <alignment horizontal="center"/>
    </xf>
    <xf numFmtId="0" fontId="4" fillId="0" borderId="0" xfId="1" applyFont="1"/>
    <xf numFmtId="0" fontId="2" fillId="15" borderId="0" xfId="1" applyFill="1" applyAlignment="1">
      <alignment horizontal="center"/>
    </xf>
    <xf numFmtId="0" fontId="2" fillId="0" borderId="0" xfId="1" applyBorder="1"/>
    <xf numFmtId="3" fontId="2" fillId="8" borderId="10" xfId="2" applyNumberFormat="1" applyFont="1" applyFill="1" applyBorder="1" applyAlignment="1">
      <alignment horizontal="center" wrapText="1"/>
    </xf>
    <xf numFmtId="0" fontId="3" fillId="13" borderId="12" xfId="1" applyFont="1" applyFill="1" applyBorder="1" applyAlignment="1">
      <alignment horizontal="center" vertical="center" wrapText="1"/>
    </xf>
    <xf numFmtId="0" fontId="3" fillId="13" borderId="11" xfId="1" applyFont="1" applyFill="1" applyBorder="1" applyAlignment="1">
      <alignment horizontal="center" vertical="center" wrapText="1"/>
    </xf>
    <xf numFmtId="165" fontId="0" fillId="13" borderId="12" xfId="3" applyNumberFormat="1" applyFont="1" applyFill="1" applyBorder="1" applyAlignment="1">
      <alignment horizontal="center"/>
    </xf>
    <xf numFmtId="0" fontId="2" fillId="19" borderId="12" xfId="1" applyFill="1" applyBorder="1" applyAlignment="1">
      <alignment horizontal="center"/>
    </xf>
    <xf numFmtId="0" fontId="2" fillId="13" borderId="5" xfId="1" applyFill="1" applyBorder="1" applyAlignment="1">
      <alignment horizontal="center"/>
    </xf>
    <xf numFmtId="165" fontId="0" fillId="13" borderId="17" xfId="3" applyNumberFormat="1" applyFont="1" applyFill="1" applyBorder="1" applyAlignment="1">
      <alignment horizontal="center"/>
    </xf>
    <xf numFmtId="165" fontId="0" fillId="13" borderId="13" xfId="3" applyNumberFormat="1" applyFont="1" applyFill="1" applyBorder="1" applyAlignment="1">
      <alignment horizontal="center"/>
    </xf>
    <xf numFmtId="0" fontId="2" fillId="5" borderId="13" xfId="1" applyFill="1" applyBorder="1" applyAlignment="1">
      <alignment horizontal="center"/>
    </xf>
    <xf numFmtId="3" fontId="2" fillId="13" borderId="7" xfId="1" applyNumberFormat="1" applyFill="1" applyBorder="1" applyAlignment="1">
      <alignment horizontal="center"/>
    </xf>
    <xf numFmtId="165" fontId="0" fillId="13" borderId="18" xfId="3" applyNumberFormat="1" applyFont="1" applyFill="1" applyBorder="1" applyAlignment="1">
      <alignment horizontal="center"/>
    </xf>
    <xf numFmtId="0" fontId="2" fillId="20" borderId="13" xfId="1" applyFill="1" applyBorder="1" applyAlignment="1">
      <alignment horizontal="center"/>
    </xf>
    <xf numFmtId="0" fontId="2" fillId="10" borderId="13" xfId="1" applyFill="1" applyBorder="1" applyAlignment="1">
      <alignment horizontal="center"/>
    </xf>
    <xf numFmtId="0" fontId="2" fillId="21" borderId="13" xfId="1" applyFill="1" applyBorder="1" applyAlignment="1">
      <alignment horizontal="center"/>
    </xf>
    <xf numFmtId="165" fontId="0" fillId="13" borderId="16" xfId="3" applyNumberFormat="1" applyFont="1" applyFill="1" applyBorder="1" applyAlignment="1">
      <alignment horizontal="center"/>
    </xf>
    <xf numFmtId="0" fontId="2" fillId="22" borderId="16" xfId="1" applyFill="1" applyBorder="1" applyAlignment="1">
      <alignment horizontal="center"/>
    </xf>
    <xf numFmtId="3" fontId="2" fillId="13" borderId="14" xfId="1" applyNumberFormat="1" applyFill="1" applyBorder="1" applyAlignment="1">
      <alignment horizontal="center"/>
    </xf>
    <xf numFmtId="165" fontId="0" fillId="13" borderId="19" xfId="3" applyNumberFormat="1" applyFont="1" applyFill="1" applyBorder="1" applyAlignment="1">
      <alignment horizontal="center"/>
    </xf>
    <xf numFmtId="165" fontId="0" fillId="0" borderId="0" xfId="3" applyNumberFormat="1" applyFont="1" applyFill="1" applyBorder="1" applyAlignment="1">
      <alignment horizontal="center"/>
    </xf>
    <xf numFmtId="3" fontId="3" fillId="6" borderId="12" xfId="1" applyNumberFormat="1" applyFont="1" applyFill="1" applyBorder="1" applyAlignment="1">
      <alignment horizontal="center" vertical="center"/>
    </xf>
    <xf numFmtId="165" fontId="0" fillId="13" borderId="11" xfId="3" applyNumberFormat="1" applyFont="1" applyFill="1" applyBorder="1" applyAlignment="1">
      <alignment horizontal="center" vertical="center"/>
    </xf>
    <xf numFmtId="0" fontId="2" fillId="0" borderId="0" xfId="1" applyFont="1" applyFill="1" applyBorder="1" applyAlignment="1">
      <alignment horizontal="right"/>
    </xf>
    <xf numFmtId="0" fontId="3" fillId="13" borderId="11" xfId="1" applyFont="1" applyFill="1" applyBorder="1" applyAlignment="1">
      <alignment horizontal="center" wrapText="1"/>
    </xf>
    <xf numFmtId="0" fontId="3" fillId="13" borderId="11" xfId="1" applyFont="1" applyFill="1" applyBorder="1" applyAlignment="1">
      <alignment horizontal="center" vertical="center"/>
    </xf>
    <xf numFmtId="0" fontId="3" fillId="13" borderId="12" xfId="1" applyFont="1" applyFill="1" applyBorder="1" applyAlignment="1">
      <alignment horizontal="center" vertical="center"/>
    </xf>
    <xf numFmtId="165" fontId="0" fillId="13" borderId="11" xfId="3" applyNumberFormat="1" applyFont="1" applyFill="1" applyBorder="1" applyAlignment="1">
      <alignment horizontal="center"/>
    </xf>
    <xf numFmtId="0" fontId="2" fillId="19" borderId="12" xfId="1" applyFont="1" applyFill="1" applyBorder="1" applyAlignment="1">
      <alignment horizontal="center"/>
    </xf>
    <xf numFmtId="3" fontId="2" fillId="13" borderId="5" xfId="1" applyNumberFormat="1" applyFill="1" applyBorder="1" applyAlignment="1">
      <alignment horizontal="center"/>
    </xf>
    <xf numFmtId="0" fontId="2" fillId="22" borderId="16" xfId="1" applyFont="1" applyFill="1" applyBorder="1" applyAlignment="1">
      <alignment horizontal="center"/>
    </xf>
    <xf numFmtId="0" fontId="2" fillId="0" borderId="0" xfId="1" applyFont="1" applyFill="1" applyBorder="1" applyAlignment="1">
      <alignment horizontal="center"/>
    </xf>
    <xf numFmtId="3" fontId="3" fillId="6" borderId="12" xfId="1" applyNumberFormat="1" applyFont="1" applyFill="1" applyBorder="1" applyAlignment="1">
      <alignment horizontal="center"/>
    </xf>
    <xf numFmtId="165" fontId="3" fillId="6" borderId="11" xfId="3" applyNumberFormat="1" applyFont="1" applyFill="1" applyBorder="1" applyAlignment="1">
      <alignment horizontal="center"/>
    </xf>
    <xf numFmtId="165" fontId="0" fillId="13" borderId="12" xfId="3" applyNumberFormat="1" applyFont="1" applyFill="1" applyBorder="1" applyAlignment="1">
      <alignment horizontal="center" vertical="center"/>
    </xf>
    <xf numFmtId="165" fontId="0" fillId="13" borderId="13" xfId="3" applyNumberFormat="1" applyFont="1" applyFill="1" applyBorder="1" applyAlignment="1">
      <alignment horizontal="center" vertical="center"/>
    </xf>
    <xf numFmtId="0" fontId="2" fillId="0" borderId="0" xfId="1" applyFont="1" applyBorder="1" applyAlignment="1">
      <alignment horizontal="right"/>
    </xf>
    <xf numFmtId="0" fontId="2" fillId="19" borderId="5" xfId="1" applyFill="1" applyBorder="1" applyAlignment="1">
      <alignment horizontal="center"/>
    </xf>
    <xf numFmtId="165" fontId="0" fillId="13" borderId="17" xfId="3" applyNumberFormat="1" applyFont="1" applyFill="1" applyBorder="1" applyAlignment="1">
      <alignment horizontal="center" vertical="center"/>
    </xf>
    <xf numFmtId="165" fontId="3" fillId="13" borderId="16" xfId="3" applyNumberFormat="1" applyFont="1" applyFill="1" applyBorder="1" applyAlignment="1">
      <alignment horizontal="center" vertical="center"/>
    </xf>
    <xf numFmtId="0" fontId="2" fillId="5" borderId="7" xfId="1" applyFill="1" applyBorder="1" applyAlignment="1">
      <alignment horizontal="center"/>
    </xf>
    <xf numFmtId="165" fontId="0" fillId="13" borderId="18" xfId="3" applyNumberFormat="1" applyFont="1" applyFill="1" applyBorder="1" applyAlignment="1">
      <alignment horizontal="center" vertical="center"/>
    </xf>
    <xf numFmtId="165" fontId="3" fillId="13" borderId="11" xfId="3" applyNumberFormat="1" applyFont="1" applyFill="1" applyBorder="1" applyAlignment="1">
      <alignment horizontal="center"/>
    </xf>
    <xf numFmtId="0" fontId="2" fillId="20" borderId="7" xfId="1" applyFill="1" applyBorder="1" applyAlignment="1">
      <alignment horizontal="center"/>
    </xf>
    <xf numFmtId="0" fontId="2" fillId="10" borderId="7" xfId="1" applyFill="1" applyBorder="1" applyAlignment="1">
      <alignment horizontal="center"/>
    </xf>
    <xf numFmtId="4" fontId="3" fillId="6" borderId="12" xfId="1" applyNumberFormat="1" applyFont="1" applyFill="1" applyBorder="1" applyAlignment="1">
      <alignment horizontal="center"/>
    </xf>
    <xf numFmtId="0" fontId="2" fillId="22" borderId="14" xfId="1" applyFill="1" applyBorder="1" applyAlignment="1">
      <alignment horizontal="center"/>
    </xf>
    <xf numFmtId="165" fontId="0" fillId="13" borderId="16" xfId="3" applyNumberFormat="1" applyFont="1" applyFill="1" applyBorder="1" applyAlignment="1">
      <alignment horizontal="center" vertical="center"/>
    </xf>
    <xf numFmtId="165" fontId="0" fillId="13" borderId="19" xfId="3" applyNumberFormat="1" applyFont="1" applyFill="1" applyBorder="1" applyAlignment="1">
      <alignment horizontal="center" vertical="center"/>
    </xf>
    <xf numFmtId="3" fontId="3" fillId="6" borderId="11" xfId="3" applyNumberFormat="1" applyFont="1" applyFill="1" applyBorder="1" applyAlignment="1">
      <alignment horizontal="center"/>
    </xf>
    <xf numFmtId="165" fontId="3" fillId="13" borderId="11" xfId="3" applyNumberFormat="1" applyFont="1" applyFill="1" applyBorder="1" applyAlignment="1">
      <alignment horizontal="center" vertical="center"/>
    </xf>
    <xf numFmtId="0" fontId="2" fillId="0" borderId="0" xfId="1" applyFont="1" applyBorder="1" applyAlignment="1">
      <alignment horizontal="right" vertical="center"/>
    </xf>
    <xf numFmtId="0" fontId="9" fillId="0" borderId="0" xfId="10" applyFill="1" applyBorder="1"/>
    <xf numFmtId="0" fontId="9" fillId="0" borderId="0" xfId="10"/>
    <xf numFmtId="0" fontId="9" fillId="0" borderId="0" xfId="10" applyFill="1" applyBorder="1" applyAlignment="1">
      <alignment wrapText="1"/>
    </xf>
    <xf numFmtId="0" fontId="9" fillId="0" borderId="15" xfId="10" applyFill="1" applyBorder="1"/>
    <xf numFmtId="165" fontId="10" fillId="0" borderId="0" xfId="3" applyNumberFormat="1" applyFont="1" applyFill="1" applyBorder="1" applyAlignment="1">
      <alignment horizontal="center"/>
    </xf>
    <xf numFmtId="0" fontId="11" fillId="0" borderId="0" xfId="1" applyFont="1"/>
    <xf numFmtId="0" fontId="3" fillId="24" borderId="9" xfId="1" applyFont="1" applyFill="1" applyBorder="1" applyAlignment="1"/>
    <xf numFmtId="0" fontId="3" fillId="0" borderId="8" xfId="1" applyFont="1" applyBorder="1" applyAlignment="1">
      <alignment horizontal="center"/>
    </xf>
    <xf numFmtId="0" fontId="2" fillId="0" borderId="0" xfId="1" applyFont="1" applyFill="1" applyBorder="1" applyAlignment="1">
      <alignment horizontal="left" wrapText="1"/>
    </xf>
    <xf numFmtId="0" fontId="3" fillId="4" borderId="8" xfId="1" applyFont="1" applyFill="1" applyBorder="1" applyAlignment="1">
      <alignment horizontal="center" wrapText="1"/>
    </xf>
    <xf numFmtId="0" fontId="3" fillId="4" borderId="10" xfId="1" applyFont="1" applyFill="1" applyBorder="1" applyAlignment="1">
      <alignment horizontal="center" wrapText="1"/>
    </xf>
    <xf numFmtId="0" fontId="3" fillId="4" borderId="12" xfId="1" applyFont="1" applyFill="1" applyBorder="1" applyAlignment="1">
      <alignment horizontal="center" wrapText="1"/>
    </xf>
    <xf numFmtId="0" fontId="3" fillId="4" borderId="12" xfId="1" applyFont="1" applyFill="1" applyBorder="1" applyAlignment="1">
      <alignment horizontal="left" wrapText="1"/>
    </xf>
    <xf numFmtId="0" fontId="3" fillId="4" borderId="11" xfId="1" applyFont="1" applyFill="1" applyBorder="1" applyAlignment="1">
      <alignment horizontal="center" wrapText="1"/>
    </xf>
    <xf numFmtId="0" fontId="2" fillId="10" borderId="11" xfId="1" applyFont="1" applyFill="1" applyBorder="1" applyAlignment="1">
      <alignment horizontal="left" vertical="center" wrapText="1"/>
    </xf>
    <xf numFmtId="0" fontId="2" fillId="13" borderId="11" xfId="1" applyFont="1" applyFill="1" applyBorder="1" applyAlignment="1">
      <alignment horizontal="center" vertical="center" wrapText="1"/>
    </xf>
    <xf numFmtId="0" fontId="2" fillId="10" borderId="11" xfId="1" applyFont="1" applyFill="1" applyBorder="1" applyAlignment="1">
      <alignment horizontal="center" vertical="center" wrapText="1"/>
    </xf>
    <xf numFmtId="0" fontId="1" fillId="10" borderId="11" xfId="1" applyFont="1" applyFill="1" applyBorder="1" applyAlignment="1">
      <alignment horizontal="left" vertical="center" wrapText="1"/>
    </xf>
    <xf numFmtId="0" fontId="12" fillId="24" borderId="8" xfId="1" applyFont="1" applyFill="1" applyBorder="1" applyAlignment="1"/>
    <xf numFmtId="168" fontId="3" fillId="0" borderId="10" xfId="1" applyNumberFormat="1" applyFont="1" applyBorder="1" applyAlignment="1">
      <alignment horizontal="center"/>
    </xf>
    <xf numFmtId="0" fontId="2" fillId="11" borderId="0" xfId="1" applyFill="1"/>
    <xf numFmtId="3" fontId="15" fillId="13" borderId="8" xfId="10" applyNumberFormat="1" applyFont="1" applyFill="1" applyBorder="1" applyAlignment="1">
      <alignment horizontal="center"/>
    </xf>
    <xf numFmtId="3" fontId="15" fillId="13" borderId="9" xfId="10" applyNumberFormat="1" applyFont="1" applyFill="1" applyBorder="1" applyAlignment="1">
      <alignment horizontal="center"/>
    </xf>
    <xf numFmtId="3" fontId="15" fillId="13" borderId="10" xfId="10" applyNumberFormat="1" applyFont="1" applyFill="1" applyBorder="1" applyAlignment="1">
      <alignment horizontal="center"/>
    </xf>
    <xf numFmtId="3" fontId="16" fillId="6" borderId="11" xfId="10" applyNumberFormat="1" applyFont="1" applyFill="1" applyBorder="1" applyAlignment="1">
      <alignment horizontal="right"/>
    </xf>
    <xf numFmtId="3" fontId="16" fillId="6" borderId="12" xfId="10" applyNumberFormat="1" applyFont="1" applyFill="1" applyBorder="1" applyAlignment="1">
      <alignment horizontal="right"/>
    </xf>
    <xf numFmtId="3" fontId="16" fillId="6" borderId="13" xfId="10" applyNumberFormat="1" applyFont="1" applyFill="1" applyBorder="1" applyAlignment="1">
      <alignment horizontal="right"/>
    </xf>
    <xf numFmtId="3" fontId="16" fillId="6" borderId="16" xfId="10" applyNumberFormat="1" applyFont="1" applyFill="1" applyBorder="1" applyAlignment="1">
      <alignment horizontal="right"/>
    </xf>
    <xf numFmtId="3" fontId="17" fillId="2" borderId="8" xfId="0" applyNumberFormat="1" applyFont="1" applyFill="1" applyBorder="1" applyAlignment="1">
      <alignment horizontal="center" vertical="center" wrapText="1"/>
    </xf>
    <xf numFmtId="3" fontId="17" fillId="2" borderId="9" xfId="0" applyNumberFormat="1" applyFont="1" applyFill="1" applyBorder="1" applyAlignment="1">
      <alignment horizontal="center" vertical="center" wrapText="1"/>
    </xf>
    <xf numFmtId="3" fontId="17" fillId="2" borderId="10" xfId="0" applyNumberFormat="1" applyFont="1" applyFill="1" applyBorder="1" applyAlignment="1">
      <alignment horizontal="center" vertical="center" wrapText="1"/>
    </xf>
    <xf numFmtId="0" fontId="15" fillId="0" borderId="0" xfId="10" applyFont="1" applyFill="1" applyBorder="1"/>
    <xf numFmtId="165" fontId="16" fillId="11" borderId="11" xfId="3" applyNumberFormat="1" applyFont="1" applyFill="1" applyBorder="1" applyAlignment="1">
      <alignment horizontal="center" vertical="center" wrapText="1"/>
    </xf>
    <xf numFmtId="165" fontId="16" fillId="18" borderId="5" xfId="3" applyNumberFormat="1" applyFont="1" applyFill="1" applyBorder="1" applyAlignment="1">
      <alignment horizontal="center" vertical="center" wrapText="1"/>
    </xf>
    <xf numFmtId="0" fontId="16" fillId="11" borderId="8" xfId="1" applyFont="1" applyFill="1" applyBorder="1" applyAlignment="1">
      <alignment wrapText="1"/>
    </xf>
    <xf numFmtId="0" fontId="18" fillId="2" borderId="21" xfId="0" applyFont="1" applyFill="1" applyBorder="1" applyAlignment="1">
      <alignment vertical="center" wrapText="1"/>
    </xf>
    <xf numFmtId="3" fontId="15" fillId="17" borderId="11" xfId="1" applyNumberFormat="1" applyFont="1" applyFill="1" applyBorder="1" applyAlignment="1">
      <alignment horizontal="left" vertical="center" wrapText="1"/>
    </xf>
    <xf numFmtId="3" fontId="19" fillId="8" borderId="5" xfId="3" applyNumberFormat="1" applyFont="1" applyFill="1" applyBorder="1" applyAlignment="1">
      <alignment horizontal="center"/>
    </xf>
    <xf numFmtId="3" fontId="19" fillId="8" borderId="6" xfId="3" applyNumberFormat="1" applyFont="1" applyFill="1" applyBorder="1" applyAlignment="1">
      <alignment horizontal="center"/>
    </xf>
    <xf numFmtId="3" fontId="19" fillId="8" borderId="17" xfId="3" applyNumberFormat="1" applyFont="1" applyFill="1" applyBorder="1" applyAlignment="1">
      <alignment horizontal="center"/>
    </xf>
    <xf numFmtId="3" fontId="19" fillId="8" borderId="7" xfId="3" applyNumberFormat="1" applyFont="1" applyFill="1" applyBorder="1" applyAlignment="1">
      <alignment horizontal="center"/>
    </xf>
    <xf numFmtId="3" fontId="19" fillId="8" borderId="0" xfId="3" applyNumberFormat="1" applyFont="1" applyFill="1" applyBorder="1" applyAlignment="1">
      <alignment horizontal="center"/>
    </xf>
    <xf numFmtId="3" fontId="19" fillId="8" borderId="18" xfId="3" applyNumberFormat="1" applyFont="1" applyFill="1" applyBorder="1" applyAlignment="1">
      <alignment horizontal="center"/>
    </xf>
    <xf numFmtId="3" fontId="19" fillId="8" borderId="14" xfId="3" applyNumberFormat="1" applyFont="1" applyFill="1" applyBorder="1" applyAlignment="1">
      <alignment horizontal="center"/>
    </xf>
    <xf numFmtId="3" fontId="19" fillId="8" borderId="15" xfId="3" applyNumberFormat="1" applyFont="1" applyFill="1" applyBorder="1" applyAlignment="1">
      <alignment horizontal="center"/>
    </xf>
    <xf numFmtId="3" fontId="19" fillId="8" borderId="19" xfId="3" applyNumberFormat="1" applyFont="1" applyFill="1" applyBorder="1" applyAlignment="1">
      <alignment horizontal="center"/>
    </xf>
    <xf numFmtId="0" fontId="18" fillId="2" borderId="3" xfId="0" applyFont="1" applyFill="1" applyBorder="1" applyAlignment="1">
      <alignment vertical="center" wrapText="1"/>
    </xf>
    <xf numFmtId="0" fontId="17" fillId="2" borderId="21" xfId="0" applyFont="1" applyFill="1" applyBorder="1" applyAlignment="1">
      <alignment vertical="center" wrapText="1"/>
    </xf>
    <xf numFmtId="3" fontId="16" fillId="8" borderId="5" xfId="3" applyNumberFormat="1" applyFont="1" applyFill="1" applyBorder="1" applyAlignment="1">
      <alignment horizontal="center" vertical="center" wrapText="1"/>
    </xf>
    <xf numFmtId="3" fontId="16" fillId="8" borderId="6" xfId="3" applyNumberFormat="1" applyFont="1" applyFill="1" applyBorder="1" applyAlignment="1">
      <alignment horizontal="center" vertical="center" wrapText="1"/>
    </xf>
    <xf numFmtId="3" fontId="16" fillId="8" borderId="17" xfId="3" applyNumberFormat="1" applyFont="1" applyFill="1" applyBorder="1" applyAlignment="1">
      <alignment horizontal="center" vertical="center" wrapText="1"/>
    </xf>
    <xf numFmtId="3" fontId="16" fillId="8" borderId="8" xfId="3" applyNumberFormat="1" applyFont="1" applyFill="1" applyBorder="1" applyAlignment="1">
      <alignment horizontal="center" vertical="center" wrapText="1"/>
    </xf>
    <xf numFmtId="3" fontId="16" fillId="8" borderId="9" xfId="3" applyNumberFormat="1" applyFont="1" applyFill="1" applyBorder="1" applyAlignment="1">
      <alignment horizontal="center" vertical="center" wrapText="1"/>
    </xf>
    <xf numFmtId="3" fontId="16" fillId="8" borderId="10" xfId="3" applyNumberFormat="1" applyFont="1" applyFill="1" applyBorder="1" applyAlignment="1">
      <alignment horizontal="center" vertical="center" wrapText="1"/>
    </xf>
    <xf numFmtId="0" fontId="18" fillId="2" borderId="20" xfId="0" applyFont="1" applyFill="1" applyBorder="1" applyAlignment="1">
      <alignment vertical="center" wrapText="1"/>
    </xf>
    <xf numFmtId="0" fontId="18" fillId="2" borderId="0" xfId="0" applyFont="1" applyFill="1" applyBorder="1" applyAlignment="1">
      <alignment vertical="center" wrapText="1"/>
    </xf>
    <xf numFmtId="0" fontId="17" fillId="2" borderId="11" xfId="0" applyFont="1" applyFill="1" applyBorder="1" applyAlignment="1">
      <alignment vertical="center" wrapText="1"/>
    </xf>
    <xf numFmtId="0" fontId="17" fillId="3" borderId="11" xfId="0" applyFont="1" applyFill="1" applyBorder="1" applyAlignment="1">
      <alignment vertical="center" wrapText="1"/>
    </xf>
    <xf numFmtId="3" fontId="17" fillId="3" borderId="8" xfId="0" applyNumberFormat="1" applyFont="1" applyFill="1" applyBorder="1" applyAlignment="1">
      <alignment horizontal="center" vertical="center" wrapText="1"/>
    </xf>
    <xf numFmtId="3" fontId="17" fillId="3" borderId="9" xfId="0" applyNumberFormat="1" applyFont="1" applyFill="1" applyBorder="1" applyAlignment="1">
      <alignment horizontal="center" vertical="center" wrapText="1"/>
    </xf>
    <xf numFmtId="3" fontId="17" fillId="3" borderId="10" xfId="0" applyNumberFormat="1" applyFont="1" applyFill="1" applyBorder="1" applyAlignment="1">
      <alignment horizontal="center" vertical="center" wrapText="1"/>
    </xf>
    <xf numFmtId="3" fontId="17" fillId="17" borderId="16" xfId="1" applyNumberFormat="1" applyFont="1" applyFill="1" applyBorder="1" applyAlignment="1">
      <alignment horizontal="left" vertical="center" wrapText="1"/>
    </xf>
    <xf numFmtId="0" fontId="17" fillId="3" borderId="9" xfId="0" applyFont="1" applyFill="1" applyBorder="1" applyAlignment="1">
      <alignment vertical="center" wrapText="1"/>
    </xf>
    <xf numFmtId="0" fontId="17" fillId="2" borderId="9" xfId="0" applyFont="1" applyFill="1" applyBorder="1" applyAlignment="1">
      <alignment vertical="center" wrapText="1"/>
    </xf>
    <xf numFmtId="3" fontId="19" fillId="13" borderId="8" xfId="3" applyNumberFormat="1" applyFont="1" applyFill="1" applyBorder="1" applyAlignment="1">
      <alignment horizontal="center"/>
    </xf>
    <xf numFmtId="3" fontId="19" fillId="13" borderId="9" xfId="3" applyNumberFormat="1" applyFont="1" applyFill="1" applyBorder="1" applyAlignment="1">
      <alignment horizontal="center"/>
    </xf>
    <xf numFmtId="3" fontId="19" fillId="13" borderId="10" xfId="3" applyNumberFormat="1" applyFont="1" applyFill="1" applyBorder="1" applyAlignment="1">
      <alignment horizontal="center"/>
    </xf>
    <xf numFmtId="3" fontId="17" fillId="17" borderId="11" xfId="1" applyNumberFormat="1" applyFont="1" applyFill="1" applyBorder="1" applyAlignment="1">
      <alignment horizontal="left" vertical="center" wrapText="1"/>
    </xf>
    <xf numFmtId="3" fontId="18" fillId="2" borderId="8" xfId="0" applyNumberFormat="1"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7" fillId="2" borderId="0" xfId="0" applyFont="1" applyFill="1" applyBorder="1" applyAlignment="1">
      <alignment vertical="center" wrapText="1"/>
    </xf>
    <xf numFmtId="3" fontId="15" fillId="0" borderId="0" xfId="10" applyNumberFormat="1" applyFont="1" applyFill="1" applyBorder="1"/>
    <xf numFmtId="0" fontId="15" fillId="11" borderId="11" xfId="10" applyFont="1" applyFill="1" applyBorder="1"/>
    <xf numFmtId="3" fontId="15" fillId="11" borderId="8" xfId="10" applyNumberFormat="1" applyFont="1" applyFill="1" applyBorder="1" applyAlignment="1">
      <alignment horizontal="center"/>
    </xf>
    <xf numFmtId="3" fontId="15" fillId="11" borderId="9" xfId="10" applyNumberFormat="1" applyFont="1" applyFill="1" applyBorder="1" applyAlignment="1">
      <alignment horizontal="center"/>
    </xf>
    <xf numFmtId="3" fontId="15" fillId="11" borderId="10" xfId="10" applyNumberFormat="1" applyFont="1" applyFill="1" applyBorder="1" applyAlignment="1">
      <alignment horizontal="center"/>
    </xf>
    <xf numFmtId="0" fontId="21" fillId="11" borderId="8" xfId="10" applyFont="1" applyFill="1" applyBorder="1" applyAlignment="1"/>
    <xf numFmtId="0" fontId="21" fillId="11" borderId="9" xfId="10" applyFont="1" applyFill="1" applyBorder="1" applyAlignment="1"/>
    <xf numFmtId="165" fontId="16" fillId="18" borderId="11" xfId="3" applyNumberFormat="1" applyFont="1" applyFill="1" applyBorder="1" applyAlignment="1">
      <alignment horizontal="center" vertical="center" wrapText="1"/>
    </xf>
    <xf numFmtId="165" fontId="16" fillId="11" borderId="11" xfId="3" applyNumberFormat="1" applyFont="1" applyFill="1" applyBorder="1" applyAlignment="1">
      <alignment horizontal="left" vertical="center" wrapText="1"/>
    </xf>
    <xf numFmtId="165" fontId="16" fillId="13" borderId="12" xfId="3" applyNumberFormat="1" applyFont="1" applyFill="1" applyBorder="1" applyAlignment="1">
      <alignment wrapText="1"/>
    </xf>
    <xf numFmtId="165" fontId="15" fillId="13" borderId="12" xfId="3" applyNumberFormat="1" applyFont="1" applyFill="1" applyBorder="1" applyAlignment="1">
      <alignment horizontal="left" wrapText="1"/>
    </xf>
    <xf numFmtId="165" fontId="15" fillId="13" borderId="13" xfId="3" applyNumberFormat="1" applyFont="1" applyFill="1" applyBorder="1" applyAlignment="1">
      <alignment horizontal="left" wrapText="1"/>
    </xf>
    <xf numFmtId="165" fontId="16" fillId="13" borderId="14" xfId="3" applyNumberFormat="1" applyFont="1" applyFill="1" applyBorder="1" applyAlignment="1">
      <alignment horizontal="left" wrapText="1"/>
    </xf>
    <xf numFmtId="3" fontId="19" fillId="8" borderId="9" xfId="3" applyNumberFormat="1" applyFont="1" applyFill="1" applyBorder="1" applyAlignment="1">
      <alignment horizontal="center"/>
    </xf>
    <xf numFmtId="0" fontId="15" fillId="0" borderId="0" xfId="10" applyFont="1"/>
    <xf numFmtId="3" fontId="16" fillId="11" borderId="11" xfId="10" applyNumberFormat="1" applyFont="1" applyFill="1" applyBorder="1" applyAlignment="1">
      <alignment horizontal="center" wrapText="1"/>
    </xf>
    <xf numFmtId="3" fontId="16" fillId="0" borderId="0" xfId="10" applyNumberFormat="1" applyFont="1" applyFill="1" applyBorder="1" applyAlignment="1">
      <alignment horizontal="center" wrapText="1"/>
    </xf>
    <xf numFmtId="0" fontId="15" fillId="0" borderId="0" xfId="10" applyFont="1" applyFill="1" applyBorder="1" applyAlignment="1">
      <alignment wrapText="1"/>
    </xf>
    <xf numFmtId="0" fontId="15" fillId="0" borderId="15" xfId="10" applyFont="1" applyFill="1" applyBorder="1"/>
    <xf numFmtId="165" fontId="15" fillId="0" borderId="0" xfId="3" applyNumberFormat="1" applyFont="1" applyFill="1" applyBorder="1" applyAlignment="1">
      <alignment horizontal="center" wrapText="1"/>
    </xf>
    <xf numFmtId="165" fontId="15" fillId="13" borderId="16" xfId="3" applyNumberFormat="1" applyFont="1" applyFill="1" applyBorder="1" applyAlignment="1">
      <alignment horizontal="left" wrapText="1"/>
    </xf>
    <xf numFmtId="165" fontId="16" fillId="13" borderId="11" xfId="3" applyNumberFormat="1" applyFont="1" applyFill="1" applyBorder="1" applyAlignment="1">
      <alignment horizontal="left" wrapText="1"/>
    </xf>
    <xf numFmtId="9" fontId="16" fillId="13" borderId="11" xfId="3" applyNumberFormat="1" applyFont="1" applyFill="1" applyBorder="1" applyAlignment="1">
      <alignment horizontal="center" wrapText="1"/>
    </xf>
    <xf numFmtId="3" fontId="15" fillId="13" borderId="11" xfId="3" applyNumberFormat="1" applyFont="1" applyFill="1" applyBorder="1" applyAlignment="1">
      <alignment horizontal="center" wrapText="1"/>
    </xf>
    <xf numFmtId="0" fontId="23" fillId="13" borderId="13" xfId="10" applyFont="1" applyFill="1" applyBorder="1" applyAlignment="1">
      <alignment horizontal="center" vertical="center" wrapText="1"/>
    </xf>
    <xf numFmtId="165" fontId="23" fillId="13" borderId="11" xfId="3" applyNumberFormat="1" applyFont="1" applyFill="1" applyBorder="1" applyAlignment="1">
      <alignment horizontal="center" vertical="center" wrapText="1"/>
    </xf>
    <xf numFmtId="3" fontId="16" fillId="13" borderId="11" xfId="10" applyNumberFormat="1" applyFont="1" applyFill="1" applyBorder="1" applyAlignment="1">
      <alignment horizontal="left"/>
    </xf>
    <xf numFmtId="3" fontId="24" fillId="13" borderId="11" xfId="10" applyNumberFormat="1" applyFont="1" applyFill="1" applyBorder="1" applyAlignment="1">
      <alignment horizontal="left"/>
    </xf>
    <xf numFmtId="3" fontId="15" fillId="9" borderId="5" xfId="10" applyNumberFormat="1" applyFont="1" applyFill="1" applyBorder="1" applyAlignment="1">
      <alignment horizontal="left"/>
    </xf>
    <xf numFmtId="3" fontId="15" fillId="9" borderId="7" xfId="10" applyNumberFormat="1" applyFont="1" applyFill="1" applyBorder="1" applyAlignment="1">
      <alignment horizontal="left"/>
    </xf>
    <xf numFmtId="3" fontId="15" fillId="9" borderId="14" xfId="10" applyNumberFormat="1" applyFont="1" applyFill="1" applyBorder="1" applyAlignment="1">
      <alignment horizontal="left"/>
    </xf>
    <xf numFmtId="3" fontId="15" fillId="0" borderId="0" xfId="10" applyNumberFormat="1" applyFont="1" applyFill="1" applyBorder="1" applyAlignment="1">
      <alignment horizontal="right"/>
    </xf>
    <xf numFmtId="3" fontId="15" fillId="0" borderId="0" xfId="10" applyNumberFormat="1" applyFont="1" applyFill="1" applyBorder="1" applyAlignment="1">
      <alignment horizontal="left"/>
    </xf>
    <xf numFmtId="3" fontId="23" fillId="0" borderId="0" xfId="10" applyNumberFormat="1" applyFont="1" applyBorder="1" applyAlignment="1">
      <alignment horizontal="left"/>
    </xf>
    <xf numFmtId="3" fontId="24" fillId="13" borderId="12" xfId="10" applyNumberFormat="1" applyFont="1" applyFill="1" applyBorder="1" applyAlignment="1">
      <alignment horizontal="left"/>
    </xf>
    <xf numFmtId="3" fontId="16" fillId="0" borderId="0" xfId="10" applyNumberFormat="1" applyFont="1" applyBorder="1" applyAlignment="1">
      <alignment horizontal="left"/>
    </xf>
    <xf numFmtId="3" fontId="24" fillId="13" borderId="11" xfId="10" applyNumberFormat="1" applyFont="1" applyFill="1" applyBorder="1" applyAlignment="1">
      <alignment horizontal="left" wrapText="1"/>
    </xf>
    <xf numFmtId="3" fontId="15" fillId="0" borderId="0" xfId="10" applyNumberFormat="1" applyFont="1" applyBorder="1" applyAlignment="1">
      <alignment horizontal="left"/>
    </xf>
    <xf numFmtId="0" fontId="16" fillId="11" borderId="8" xfId="1" applyFont="1" applyFill="1" applyBorder="1" applyAlignment="1">
      <alignment horizontal="center" wrapText="1"/>
    </xf>
    <xf numFmtId="3" fontId="19" fillId="8" borderId="8" xfId="3" applyNumberFormat="1" applyFont="1" applyFill="1" applyBorder="1" applyAlignment="1">
      <alignment horizontal="center"/>
    </xf>
    <xf numFmtId="10" fontId="19" fillId="8" borderId="11" xfId="3" applyNumberFormat="1" applyFont="1" applyFill="1" applyBorder="1" applyAlignment="1">
      <alignment horizontal="center"/>
    </xf>
    <xf numFmtId="165" fontId="19" fillId="8" borderId="11" xfId="3" applyNumberFormat="1" applyFont="1" applyFill="1" applyBorder="1" applyAlignment="1">
      <alignment horizontal="center"/>
    </xf>
    <xf numFmtId="165" fontId="19" fillId="8" borderId="12" xfId="3" applyNumberFormat="1" applyFont="1" applyFill="1" applyBorder="1" applyAlignment="1">
      <alignment horizontal="center"/>
    </xf>
    <xf numFmtId="165" fontId="19" fillId="8" borderId="6" xfId="3" applyNumberFormat="1" applyFont="1" applyFill="1" applyBorder="1" applyAlignment="1">
      <alignment horizontal="center"/>
    </xf>
    <xf numFmtId="165" fontId="19" fillId="8" borderId="5" xfId="3" applyNumberFormat="1" applyFont="1" applyFill="1" applyBorder="1" applyAlignment="1">
      <alignment horizontal="center"/>
    </xf>
    <xf numFmtId="165" fontId="19" fillId="8" borderId="17" xfId="3" applyNumberFormat="1" applyFont="1" applyFill="1" applyBorder="1" applyAlignment="1">
      <alignment horizontal="center"/>
    </xf>
    <xf numFmtId="165" fontId="19" fillId="8" borderId="13" xfId="3" applyNumberFormat="1" applyFont="1" applyFill="1" applyBorder="1" applyAlignment="1">
      <alignment horizontal="center"/>
    </xf>
    <xf numFmtId="165" fontId="19" fillId="8" borderId="0" xfId="3" applyNumberFormat="1" applyFont="1" applyFill="1" applyBorder="1" applyAlignment="1">
      <alignment horizontal="center"/>
    </xf>
    <xf numFmtId="165" fontId="19" fillId="8" borderId="7" xfId="3" applyNumberFormat="1" applyFont="1" applyFill="1" applyBorder="1" applyAlignment="1">
      <alignment horizontal="center"/>
    </xf>
    <xf numFmtId="165" fontId="19" fillId="8" borderId="18" xfId="3" applyNumberFormat="1" applyFont="1" applyFill="1" applyBorder="1" applyAlignment="1">
      <alignment horizontal="center"/>
    </xf>
    <xf numFmtId="165" fontId="19" fillId="8" borderId="16" xfId="3" applyNumberFormat="1" applyFont="1" applyFill="1" applyBorder="1" applyAlignment="1">
      <alignment horizontal="center"/>
    </xf>
    <xf numFmtId="165" fontId="19" fillId="8" borderId="15" xfId="3" applyNumberFormat="1" applyFont="1" applyFill="1" applyBorder="1" applyAlignment="1">
      <alignment horizontal="center"/>
    </xf>
    <xf numFmtId="165" fontId="19" fillId="8" borderId="14" xfId="3" applyNumberFormat="1" applyFont="1" applyFill="1" applyBorder="1" applyAlignment="1">
      <alignment horizontal="center"/>
    </xf>
    <xf numFmtId="165" fontId="19" fillId="8" borderId="19" xfId="3" applyNumberFormat="1" applyFont="1" applyFill="1" applyBorder="1" applyAlignment="1">
      <alignment horizontal="center"/>
    </xf>
    <xf numFmtId="165" fontId="19" fillId="8" borderId="8" xfId="3" applyNumberFormat="1" applyFont="1" applyFill="1" applyBorder="1" applyAlignment="1">
      <alignment horizontal="center"/>
    </xf>
    <xf numFmtId="165" fontId="19" fillId="8" borderId="9" xfId="3" applyNumberFormat="1" applyFont="1" applyFill="1" applyBorder="1" applyAlignment="1">
      <alignment horizontal="center"/>
    </xf>
    <xf numFmtId="165" fontId="19" fillId="8" borderId="10" xfId="3" applyNumberFormat="1" applyFont="1" applyFill="1" applyBorder="1" applyAlignment="1">
      <alignment horizontal="center"/>
    </xf>
    <xf numFmtId="0" fontId="15" fillId="0" borderId="0" xfId="1" applyFont="1" applyFill="1" applyBorder="1"/>
    <xf numFmtId="0" fontId="16" fillId="0" borderId="0" xfId="1" applyFont="1" applyBorder="1"/>
    <xf numFmtId="0" fontId="16" fillId="0" borderId="0" xfId="1" applyFont="1" applyBorder="1" applyAlignment="1">
      <alignment horizontal="right"/>
    </xf>
    <xf numFmtId="0" fontId="16" fillId="0" borderId="0" xfId="1" applyFont="1" applyFill="1" applyBorder="1"/>
    <xf numFmtId="0" fontId="15" fillId="0" borderId="0" xfId="1" applyFont="1" applyBorder="1"/>
    <xf numFmtId="0" fontId="26" fillId="12" borderId="8" xfId="1" applyFont="1" applyFill="1" applyBorder="1" applyAlignment="1">
      <alignment horizontal="left"/>
    </xf>
    <xf numFmtId="0" fontId="26" fillId="12" borderId="10" xfId="1" applyFont="1" applyFill="1" applyBorder="1" applyAlignment="1">
      <alignment horizontal="right"/>
    </xf>
    <xf numFmtId="0" fontId="27" fillId="0" borderId="0" xfId="1" applyFont="1" applyFill="1" applyBorder="1"/>
    <xf numFmtId="0" fontId="24" fillId="13" borderId="11" xfId="1" applyFont="1" applyFill="1" applyBorder="1" applyAlignment="1">
      <alignment horizontal="left" vertical="center"/>
    </xf>
    <xf numFmtId="9" fontId="16" fillId="7" borderId="11" xfId="9" applyFont="1" applyFill="1" applyBorder="1" applyAlignment="1">
      <alignment horizontal="center" vertical="center" wrapText="1"/>
    </xf>
    <xf numFmtId="9" fontId="16" fillId="0" borderId="0" xfId="9" applyFont="1" applyFill="1" applyBorder="1" applyAlignment="1">
      <alignment horizontal="center" wrapText="1"/>
    </xf>
    <xf numFmtId="0" fontId="15" fillId="0" borderId="0" xfId="1" applyFont="1" applyFill="1" applyBorder="1" applyAlignment="1">
      <alignment horizontal="left"/>
    </xf>
    <xf numFmtId="0" fontId="16" fillId="0" borderId="0" xfId="1" applyFont="1" applyFill="1" applyBorder="1" applyAlignment="1">
      <alignment horizontal="center" wrapText="1"/>
    </xf>
    <xf numFmtId="0" fontId="24" fillId="13" borderId="11" xfId="1" applyFont="1" applyFill="1" applyBorder="1" applyAlignment="1">
      <alignment horizontal="center" wrapText="1"/>
    </xf>
    <xf numFmtId="0" fontId="24" fillId="0" borderId="8" xfId="1" applyFont="1" applyFill="1" applyBorder="1" applyAlignment="1">
      <alignment horizontal="center" wrapText="1"/>
    </xf>
    <xf numFmtId="165" fontId="16" fillId="18" borderId="8" xfId="3" applyNumberFormat="1" applyFont="1" applyFill="1" applyBorder="1" applyAlignment="1">
      <alignment horizontal="center" wrapText="1"/>
    </xf>
    <xf numFmtId="0" fontId="24" fillId="0" borderId="0" xfId="1" applyFont="1" applyFill="1" applyBorder="1" applyAlignment="1">
      <alignment horizontal="center" wrapText="1"/>
    </xf>
    <xf numFmtId="0" fontId="24" fillId="0" borderId="0" xfId="1" applyFont="1" applyFill="1" applyBorder="1" applyAlignment="1">
      <alignment horizontal="right" wrapText="1"/>
    </xf>
    <xf numFmtId="165" fontId="16" fillId="0" borderId="0" xfId="3" applyNumberFormat="1" applyFont="1" applyFill="1" applyBorder="1" applyAlignment="1">
      <alignment horizontal="center"/>
    </xf>
    <xf numFmtId="0" fontId="16" fillId="11" borderId="11" xfId="1" applyFont="1" applyFill="1" applyBorder="1" applyAlignment="1">
      <alignment horizontal="left" wrapText="1"/>
    </xf>
    <xf numFmtId="165" fontId="16" fillId="0" borderId="0" xfId="3" applyNumberFormat="1" applyFont="1" applyFill="1" applyBorder="1" applyAlignment="1">
      <alignment horizontal="left"/>
    </xf>
    <xf numFmtId="0" fontId="16" fillId="17" borderId="5" xfId="1" applyFont="1" applyFill="1" applyBorder="1"/>
    <xf numFmtId="166" fontId="16" fillId="6" borderId="12" xfId="1" applyNumberFormat="1" applyFont="1" applyFill="1" applyBorder="1" applyAlignment="1">
      <alignment horizontal="right"/>
    </xf>
    <xf numFmtId="3" fontId="15" fillId="0" borderId="17" xfId="1" applyNumberFormat="1" applyFont="1" applyFill="1" applyBorder="1"/>
    <xf numFmtId="3" fontId="15" fillId="17" borderId="12" xfId="2" applyNumberFormat="1" applyFont="1" applyFill="1" applyBorder="1" applyAlignment="1">
      <alignment horizontal="center"/>
    </xf>
    <xf numFmtId="0" fontId="16" fillId="17" borderId="7" xfId="1" applyFont="1" applyFill="1" applyBorder="1"/>
    <xf numFmtId="166" fontId="16" fillId="6" borderId="13" xfId="1" applyNumberFormat="1" applyFont="1" applyFill="1" applyBorder="1" applyAlignment="1">
      <alignment horizontal="right"/>
    </xf>
    <xf numFmtId="3" fontId="15" fillId="0" borderId="18" xfId="1" applyNumberFormat="1" applyFont="1" applyFill="1" applyBorder="1"/>
    <xf numFmtId="3" fontId="15" fillId="17" borderId="13" xfId="2" applyNumberFormat="1" applyFont="1" applyFill="1" applyBorder="1" applyAlignment="1">
      <alignment horizontal="center"/>
    </xf>
    <xf numFmtId="3" fontId="19" fillId="14" borderId="13" xfId="2" applyNumberFormat="1" applyFont="1" applyFill="1" applyBorder="1" applyAlignment="1">
      <alignment horizontal="center"/>
    </xf>
    <xf numFmtId="0" fontId="16" fillId="17" borderId="14" xfId="1" applyFont="1" applyFill="1" applyBorder="1"/>
    <xf numFmtId="166" fontId="16" fillId="6" borderId="16" xfId="1" applyNumberFormat="1" applyFont="1" applyFill="1" applyBorder="1" applyAlignment="1">
      <alignment horizontal="right"/>
    </xf>
    <xf numFmtId="3" fontId="15" fillId="0" borderId="19" xfId="1" applyNumberFormat="1" applyFont="1" applyFill="1" applyBorder="1"/>
    <xf numFmtId="3" fontId="15" fillId="17" borderId="16" xfId="2" applyNumberFormat="1" applyFont="1" applyFill="1" applyBorder="1" applyAlignment="1">
      <alignment horizontal="center"/>
    </xf>
    <xf numFmtId="0" fontId="16" fillId="0" borderId="7" xfId="1" applyFont="1" applyFill="1" applyBorder="1"/>
    <xf numFmtId="0" fontId="16" fillId="0" borderId="7" xfId="1" applyFont="1" applyFill="1" applyBorder="1" applyAlignment="1">
      <alignment horizontal="right"/>
    </xf>
    <xf numFmtId="3" fontId="15" fillId="0" borderId="14" xfId="2" applyNumberFormat="1" applyFont="1" applyFill="1" applyBorder="1" applyAlignment="1">
      <alignment horizontal="center"/>
    </xf>
    <xf numFmtId="3" fontId="15" fillId="0" borderId="15" xfId="2" applyNumberFormat="1" applyFont="1" applyFill="1" applyBorder="1" applyAlignment="1">
      <alignment horizontal="center"/>
    </xf>
    <xf numFmtId="0" fontId="16" fillId="11" borderId="11" xfId="1" applyFont="1" applyFill="1" applyBorder="1" applyAlignment="1">
      <alignment horizontal="center" wrapText="1"/>
    </xf>
    <xf numFmtId="0" fontId="16" fillId="0" borderId="0" xfId="1" applyFont="1" applyFill="1" applyBorder="1" applyAlignment="1">
      <alignment horizontal="left"/>
    </xf>
    <xf numFmtId="165" fontId="16" fillId="18" borderId="11" xfId="3" applyNumberFormat="1" applyFont="1" applyFill="1" applyBorder="1" applyAlignment="1">
      <alignment horizontal="center" wrapText="1"/>
    </xf>
    <xf numFmtId="0" fontId="16" fillId="13" borderId="5" xfId="1" applyFont="1" applyFill="1" applyBorder="1"/>
    <xf numFmtId="166" fontId="16" fillId="6" borderId="11" xfId="1" applyNumberFormat="1" applyFont="1" applyFill="1" applyBorder="1" applyAlignment="1">
      <alignment horizontal="right"/>
    </xf>
    <xf numFmtId="0" fontId="15" fillId="17" borderId="5" xfId="1" applyFont="1" applyFill="1" applyBorder="1"/>
    <xf numFmtId="0" fontId="15" fillId="17" borderId="7" xfId="1" applyFont="1" applyFill="1" applyBorder="1"/>
    <xf numFmtId="0" fontId="16" fillId="13" borderId="8" xfId="1" applyFont="1" applyFill="1" applyBorder="1"/>
    <xf numFmtId="3" fontId="15" fillId="0" borderId="10" xfId="1" applyNumberFormat="1" applyFont="1" applyFill="1" applyBorder="1"/>
    <xf numFmtId="0" fontId="16" fillId="13" borderId="14" xfId="1" applyFont="1" applyFill="1" applyBorder="1"/>
    <xf numFmtId="0" fontId="16" fillId="13" borderId="8" xfId="1" applyFont="1" applyFill="1" applyBorder="1" applyAlignment="1"/>
    <xf numFmtId="3" fontId="16" fillId="4" borderId="14" xfId="1" applyNumberFormat="1" applyFont="1" applyFill="1" applyBorder="1" applyAlignment="1">
      <alignment horizontal="right"/>
    </xf>
    <xf numFmtId="0" fontId="16" fillId="0" borderId="14" xfId="1" applyFont="1" applyFill="1" applyBorder="1" applyAlignment="1">
      <alignment horizontal="left" indent="1"/>
    </xf>
    <xf numFmtId="0" fontId="16" fillId="0" borderId="5" xfId="1" applyFont="1" applyFill="1" applyBorder="1"/>
    <xf numFmtId="167" fontId="15" fillId="0" borderId="14" xfId="2" applyNumberFormat="1" applyFont="1" applyFill="1" applyBorder="1" applyAlignment="1">
      <alignment horizontal="center"/>
    </xf>
    <xf numFmtId="167" fontId="15" fillId="0" borderId="15" xfId="2" applyNumberFormat="1" applyFont="1" applyFill="1" applyBorder="1" applyAlignment="1">
      <alignment horizontal="center"/>
    </xf>
    <xf numFmtId="3" fontId="15" fillId="0" borderId="6" xfId="1" applyNumberFormat="1" applyFont="1" applyFill="1" applyBorder="1"/>
    <xf numFmtId="3" fontId="15" fillId="0" borderId="0" xfId="1" applyNumberFormat="1" applyFont="1" applyFill="1" applyBorder="1"/>
    <xf numFmtId="0" fontId="15" fillId="17" borderId="12" xfId="1" applyFont="1" applyFill="1" applyBorder="1"/>
    <xf numFmtId="166" fontId="15" fillId="6" borderId="12" xfId="1" applyNumberFormat="1" applyFont="1" applyFill="1" applyBorder="1" applyAlignment="1">
      <alignment horizontal="right"/>
    </xf>
    <xf numFmtId="0" fontId="15" fillId="17" borderId="13" xfId="1" applyFont="1" applyFill="1" applyBorder="1"/>
    <xf numFmtId="0" fontId="15" fillId="17" borderId="16" xfId="1" applyFont="1" applyFill="1" applyBorder="1"/>
    <xf numFmtId="0" fontId="16" fillId="13" borderId="16" xfId="1" applyFont="1" applyFill="1" applyBorder="1"/>
    <xf numFmtId="3" fontId="15" fillId="0" borderId="11" xfId="1" applyNumberFormat="1" applyFont="1" applyFill="1" applyBorder="1"/>
    <xf numFmtId="0" fontId="16" fillId="4" borderId="14" xfId="1" applyFont="1" applyFill="1" applyBorder="1" applyAlignment="1">
      <alignment horizontal="left" indent="1"/>
    </xf>
    <xf numFmtId="3" fontId="15" fillId="0" borderId="5" xfId="1" applyNumberFormat="1" applyFont="1" applyFill="1" applyBorder="1"/>
    <xf numFmtId="3" fontId="15" fillId="0" borderId="7" xfId="1" applyNumberFormat="1" applyFont="1" applyFill="1" applyBorder="1"/>
    <xf numFmtId="3" fontId="15" fillId="0" borderId="14" xfId="1" applyNumberFormat="1" applyFont="1" applyFill="1" applyBorder="1"/>
    <xf numFmtId="0" fontId="16" fillId="4" borderId="8" xfId="1" applyFont="1" applyFill="1" applyBorder="1" applyAlignment="1">
      <alignment horizontal="left" indent="1"/>
    </xf>
    <xf numFmtId="0" fontId="16" fillId="0" borderId="8" xfId="1" applyFont="1" applyFill="1" applyBorder="1" applyAlignment="1">
      <alignment horizontal="left" indent="1"/>
    </xf>
    <xf numFmtId="3" fontId="15" fillId="14" borderId="8" xfId="1" applyNumberFormat="1" applyFont="1" applyFill="1" applyBorder="1" applyAlignment="1">
      <alignment horizontal="center"/>
    </xf>
    <xf numFmtId="3" fontId="15" fillId="0" borderId="12" xfId="1" applyNumberFormat="1" applyFont="1" applyFill="1" applyBorder="1"/>
    <xf numFmtId="3" fontId="15" fillId="0" borderId="13" xfId="1" applyNumberFormat="1" applyFont="1" applyFill="1" applyBorder="1"/>
    <xf numFmtId="3" fontId="15" fillId="0" borderId="16" xfId="1" applyNumberFormat="1" applyFont="1" applyFill="1" applyBorder="1"/>
    <xf numFmtId="3" fontId="16" fillId="6" borderId="16" xfId="1" applyNumberFormat="1" applyFont="1" applyFill="1" applyBorder="1" applyAlignment="1">
      <alignment horizontal="right"/>
    </xf>
    <xf numFmtId="167" fontId="15" fillId="0" borderId="7" xfId="2" applyNumberFormat="1" applyFont="1" applyFill="1" applyBorder="1" applyAlignment="1">
      <alignment horizontal="center"/>
    </xf>
    <xf numFmtId="167" fontId="15" fillId="0" borderId="0" xfId="2" applyNumberFormat="1" applyFont="1" applyFill="1" applyBorder="1" applyAlignment="1">
      <alignment horizontal="center"/>
    </xf>
    <xf numFmtId="165" fontId="16" fillId="11" borderId="11" xfId="3" applyNumberFormat="1" applyFont="1" applyFill="1" applyBorder="1" applyAlignment="1">
      <alignment horizontal="left"/>
    </xf>
    <xf numFmtId="3" fontId="16" fillId="6" borderId="12" xfId="1" applyNumberFormat="1" applyFont="1" applyFill="1" applyBorder="1" applyAlignment="1">
      <alignment horizontal="right"/>
    </xf>
    <xf numFmtId="167" fontId="15" fillId="0" borderId="17" xfId="1" applyNumberFormat="1" applyFont="1" applyFill="1" applyBorder="1"/>
    <xf numFmtId="3" fontId="15" fillId="17" borderId="17" xfId="2" applyNumberFormat="1" applyFont="1" applyFill="1" applyBorder="1" applyAlignment="1">
      <alignment horizontal="center"/>
    </xf>
    <xf numFmtId="0" fontId="16" fillId="13" borderId="7" xfId="1" applyFont="1" applyFill="1" applyBorder="1"/>
    <xf numFmtId="3" fontId="16" fillId="6" borderId="13" xfId="1" applyNumberFormat="1" applyFont="1" applyFill="1" applyBorder="1" applyAlignment="1">
      <alignment horizontal="right"/>
    </xf>
    <xf numFmtId="167" fontId="15" fillId="0" borderId="18" xfId="1" applyNumberFormat="1" applyFont="1" applyFill="1" applyBorder="1"/>
    <xf numFmtId="3" fontId="15" fillId="17" borderId="18" xfId="2" applyNumberFormat="1" applyFont="1" applyFill="1" applyBorder="1" applyAlignment="1">
      <alignment horizontal="center"/>
    </xf>
    <xf numFmtId="167" fontId="15" fillId="0" borderId="19" xfId="1" applyNumberFormat="1" applyFont="1" applyFill="1" applyBorder="1"/>
    <xf numFmtId="3" fontId="15" fillId="17" borderId="19" xfId="2" applyNumberFormat="1" applyFont="1" applyFill="1" applyBorder="1" applyAlignment="1">
      <alignment horizontal="center"/>
    </xf>
    <xf numFmtId="0" fontId="16" fillId="11" borderId="8" xfId="1" applyFont="1" applyFill="1" applyBorder="1"/>
    <xf numFmtId="3" fontId="16" fillId="6" borderId="11" xfId="1" applyNumberFormat="1" applyFont="1" applyFill="1" applyBorder="1" applyAlignment="1">
      <alignment horizontal="right"/>
    </xf>
    <xf numFmtId="167" fontId="15" fillId="0" borderId="10" xfId="1" applyNumberFormat="1" applyFont="1" applyFill="1" applyBorder="1"/>
    <xf numFmtId="0" fontId="16" fillId="0" borderId="0" xfId="1" applyFont="1" applyFill="1" applyBorder="1" applyAlignment="1">
      <alignment horizontal="left" indent="1"/>
    </xf>
    <xf numFmtId="0" fontId="16" fillId="0" borderId="0" xfId="1" applyFont="1" applyFill="1" applyBorder="1" applyAlignment="1">
      <alignment horizontal="right"/>
    </xf>
    <xf numFmtId="3" fontId="15" fillId="0" borderId="0" xfId="1" applyNumberFormat="1" applyFont="1" applyFill="1" applyBorder="1" applyAlignment="1">
      <alignment horizontal="center"/>
    </xf>
    <xf numFmtId="0" fontId="24" fillId="11" borderId="11" xfId="1" applyFont="1" applyFill="1" applyBorder="1" applyAlignment="1">
      <alignment horizontal="center" wrapText="1"/>
    </xf>
    <xf numFmtId="167" fontId="15" fillId="0" borderId="0" xfId="1" applyNumberFormat="1" applyFont="1" applyFill="1" applyBorder="1"/>
    <xf numFmtId="3" fontId="15" fillId="17" borderId="8" xfId="2" applyNumberFormat="1" applyFont="1" applyFill="1" applyBorder="1" applyAlignment="1">
      <alignment horizontal="right"/>
    </xf>
    <xf numFmtId="0" fontId="15" fillId="0" borderId="0" xfId="1" applyFont="1" applyFill="1" applyBorder="1" applyAlignment="1">
      <alignment vertical="center"/>
    </xf>
    <xf numFmtId="0" fontId="16" fillId="11" borderId="14" xfId="1" applyFont="1" applyFill="1" applyBorder="1" applyAlignment="1">
      <alignment wrapText="1"/>
    </xf>
    <xf numFmtId="3" fontId="16" fillId="0" borderId="18" xfId="1" applyNumberFormat="1" applyFont="1" applyFill="1" applyBorder="1"/>
    <xf numFmtId="165" fontId="16" fillId="6" borderId="11" xfId="3" applyNumberFormat="1" applyFont="1" applyFill="1" applyBorder="1" applyAlignment="1">
      <alignment horizontal="right"/>
    </xf>
    <xf numFmtId="165" fontId="16" fillId="0" borderId="19" xfId="3" applyNumberFormat="1" applyFont="1" applyFill="1" applyBorder="1"/>
    <xf numFmtId="0" fontId="16" fillId="11" borderId="12" xfId="1" applyFont="1" applyFill="1" applyBorder="1" applyAlignment="1">
      <alignment horizontal="center" wrapText="1"/>
    </xf>
    <xf numFmtId="165" fontId="16" fillId="18" borderId="12" xfId="3" applyNumberFormat="1" applyFont="1" applyFill="1" applyBorder="1" applyAlignment="1">
      <alignment horizontal="center" wrapText="1"/>
    </xf>
    <xf numFmtId="3" fontId="15" fillId="6" borderId="12" xfId="1" applyNumberFormat="1" applyFont="1" applyFill="1" applyBorder="1" applyAlignment="1">
      <alignment horizontal="right"/>
    </xf>
    <xf numFmtId="167" fontId="15" fillId="0" borderId="6" xfId="1" applyNumberFormat="1" applyFont="1" applyFill="1" applyBorder="1"/>
    <xf numFmtId="3" fontId="15" fillId="6" borderId="13" xfId="1" applyNumberFormat="1" applyFont="1" applyFill="1" applyBorder="1" applyAlignment="1">
      <alignment horizontal="right"/>
    </xf>
    <xf numFmtId="3" fontId="15" fillId="6" borderId="16" xfId="1" applyNumberFormat="1" applyFont="1" applyFill="1" applyBorder="1" applyAlignment="1">
      <alignment horizontal="right"/>
    </xf>
    <xf numFmtId="167" fontId="16" fillId="0" borderId="14" xfId="1" applyNumberFormat="1" applyFont="1" applyFill="1" applyBorder="1"/>
    <xf numFmtId="0" fontId="16" fillId="11" borderId="11" xfId="1" applyFont="1" applyFill="1" applyBorder="1" applyAlignment="1">
      <alignment horizontal="left" vertical="center" wrapText="1"/>
    </xf>
    <xf numFmtId="0" fontId="15" fillId="13" borderId="5" xfId="1" applyFont="1" applyFill="1" applyBorder="1" applyAlignment="1">
      <alignment vertical="center"/>
    </xf>
    <xf numFmtId="0" fontId="15" fillId="13" borderId="7" xfId="1" applyFont="1" applyFill="1" applyBorder="1" applyAlignment="1">
      <alignment vertical="center"/>
    </xf>
    <xf numFmtId="0" fontId="16" fillId="11" borderId="11" xfId="1" applyFont="1" applyFill="1" applyBorder="1" applyAlignment="1">
      <alignment vertical="center" wrapText="1"/>
    </xf>
    <xf numFmtId="3" fontId="15" fillId="6" borderId="11" xfId="1" applyNumberFormat="1" applyFont="1" applyFill="1" applyBorder="1" applyAlignment="1">
      <alignment horizontal="right"/>
    </xf>
    <xf numFmtId="167" fontId="16" fillId="0" borderId="15" xfId="1" applyNumberFormat="1" applyFont="1" applyFill="1" applyBorder="1"/>
    <xf numFmtId="0" fontId="16" fillId="0" borderId="0" xfId="1" applyFont="1" applyFill="1" applyBorder="1" applyAlignment="1">
      <alignment wrapText="1"/>
    </xf>
    <xf numFmtId="167" fontId="16" fillId="0" borderId="0" xfId="1" applyNumberFormat="1" applyFont="1" applyFill="1" applyBorder="1" applyAlignment="1">
      <alignment horizontal="right"/>
    </xf>
    <xf numFmtId="167" fontId="16" fillId="0" borderId="0" xfId="1" applyNumberFormat="1" applyFont="1" applyFill="1" applyBorder="1"/>
    <xf numFmtId="167" fontId="16" fillId="0" borderId="0" xfId="2" applyNumberFormat="1" applyFont="1" applyFill="1" applyBorder="1" applyAlignment="1">
      <alignment horizontal="center"/>
    </xf>
    <xf numFmtId="2" fontId="16" fillId="6" borderId="6" xfId="1" applyNumberFormat="1" applyFont="1" applyFill="1" applyBorder="1" applyAlignment="1">
      <alignment horizontal="right"/>
    </xf>
    <xf numFmtId="2" fontId="15" fillId="0" borderId="12" xfId="1" applyNumberFormat="1" applyFont="1" applyFill="1" applyBorder="1"/>
    <xf numFmtId="166" fontId="16" fillId="6" borderId="0" xfId="1" applyNumberFormat="1" applyFont="1" applyFill="1" applyBorder="1" applyAlignment="1">
      <alignment horizontal="right"/>
    </xf>
    <xf numFmtId="3" fontId="15" fillId="0" borderId="13" xfId="1" applyNumberFormat="1" applyFont="1" applyFill="1" applyBorder="1" applyAlignment="1">
      <alignment horizontal="right"/>
    </xf>
    <xf numFmtId="3" fontId="16" fillId="6" borderId="15" xfId="1" applyNumberFormat="1" applyFont="1" applyFill="1" applyBorder="1" applyAlignment="1">
      <alignment horizontal="right"/>
    </xf>
    <xf numFmtId="0" fontId="16" fillId="0" borderId="16" xfId="1" applyFont="1" applyFill="1" applyBorder="1"/>
    <xf numFmtId="0" fontId="28" fillId="0" borderId="0" xfId="1" applyFont="1" applyBorder="1"/>
    <xf numFmtId="0" fontId="28" fillId="0" borderId="0" xfId="1" applyFont="1" applyBorder="1" applyAlignment="1">
      <alignment horizontal="right"/>
    </xf>
    <xf numFmtId="0" fontId="28" fillId="0" borderId="0" xfId="1" applyFont="1" applyFill="1" applyBorder="1"/>
    <xf numFmtId="0" fontId="15" fillId="0" borderId="0" xfId="1" applyFont="1" applyFill="1"/>
    <xf numFmtId="0" fontId="16" fillId="4" borderId="11" xfId="1" applyFont="1" applyFill="1" applyBorder="1" applyAlignment="1">
      <alignment horizontal="left"/>
    </xf>
    <xf numFmtId="0" fontId="16" fillId="4" borderId="11" xfId="1" applyFont="1" applyFill="1" applyBorder="1" applyAlignment="1">
      <alignment horizontal="center"/>
    </xf>
    <xf numFmtId="3" fontId="16" fillId="6" borderId="11" xfId="1" applyNumberFormat="1" applyFont="1" applyFill="1" applyBorder="1" applyAlignment="1">
      <alignment horizontal="center"/>
    </xf>
    <xf numFmtId="3" fontId="15" fillId="17" borderId="6" xfId="2" applyNumberFormat="1" applyFont="1" applyFill="1" applyBorder="1" applyAlignment="1">
      <alignment horizontal="right"/>
    </xf>
    <xf numFmtId="3" fontId="15" fillId="17" borderId="5" xfId="2" applyNumberFormat="1" applyFont="1" applyFill="1" applyBorder="1" applyAlignment="1">
      <alignment horizontal="right"/>
    </xf>
    <xf numFmtId="3" fontId="16" fillId="14" borderId="9" xfId="2" applyNumberFormat="1" applyFont="1" applyFill="1" applyBorder="1" applyAlignment="1">
      <alignment horizontal="right"/>
    </xf>
    <xf numFmtId="3" fontId="16" fillId="14" borderId="8" xfId="2" applyNumberFormat="1" applyFont="1" applyFill="1" applyBorder="1" applyAlignment="1">
      <alignment horizontal="right"/>
    </xf>
    <xf numFmtId="0" fontId="16" fillId="0" borderId="0" xfId="1" applyFont="1" applyBorder="1" applyAlignment="1">
      <alignment horizontal="center"/>
    </xf>
    <xf numFmtId="0" fontId="16" fillId="0" borderId="0" xfId="1" applyFont="1" applyFill="1" applyBorder="1" applyAlignment="1">
      <alignment horizontal="center"/>
    </xf>
    <xf numFmtId="3" fontId="15" fillId="17" borderId="14" xfId="2" applyNumberFormat="1" applyFont="1" applyFill="1" applyBorder="1" applyAlignment="1">
      <alignment horizontal="right"/>
    </xf>
    <xf numFmtId="2" fontId="16" fillId="14" borderId="12" xfId="1" applyNumberFormat="1" applyFont="1" applyFill="1" applyBorder="1" applyAlignment="1">
      <alignment horizontal="center"/>
    </xf>
    <xf numFmtId="2" fontId="15" fillId="14" borderId="17" xfId="2" applyNumberFormat="1" applyFont="1" applyFill="1" applyBorder="1" applyAlignment="1">
      <alignment horizontal="right"/>
    </xf>
    <xf numFmtId="166" fontId="16" fillId="14" borderId="13" xfId="1" applyNumberFormat="1" applyFont="1" applyFill="1" applyBorder="1" applyAlignment="1">
      <alignment horizontal="center"/>
    </xf>
    <xf numFmtId="166" fontId="16" fillId="0" borderId="18" xfId="1" applyNumberFormat="1" applyFont="1" applyFill="1" applyBorder="1" applyAlignment="1">
      <alignment horizontal="center"/>
    </xf>
    <xf numFmtId="3" fontId="15" fillId="14" borderId="18" xfId="2" applyNumberFormat="1" applyFont="1" applyFill="1" applyBorder="1" applyAlignment="1">
      <alignment horizontal="right"/>
    </xf>
    <xf numFmtId="3" fontId="16" fillId="14" borderId="16" xfId="1" applyNumberFormat="1" applyFont="1" applyFill="1" applyBorder="1" applyAlignment="1">
      <alignment horizontal="center"/>
    </xf>
    <xf numFmtId="3" fontId="15" fillId="14" borderId="19" xfId="2" applyNumberFormat="1" applyFont="1" applyFill="1" applyBorder="1" applyAlignment="1">
      <alignment horizontal="right"/>
    </xf>
    <xf numFmtId="0" fontId="15" fillId="0" borderId="0" xfId="1" applyFont="1"/>
    <xf numFmtId="165" fontId="16" fillId="13" borderId="12" xfId="3" applyNumberFormat="1" applyFont="1" applyFill="1" applyBorder="1" applyAlignment="1">
      <alignment horizontal="center" vertical="center" wrapText="1"/>
    </xf>
    <xf numFmtId="165" fontId="16" fillId="13" borderId="10" xfId="3" applyNumberFormat="1" applyFont="1" applyFill="1" applyBorder="1" applyAlignment="1">
      <alignment horizontal="center" vertical="center" wrapText="1"/>
    </xf>
    <xf numFmtId="165" fontId="16" fillId="13" borderId="11" xfId="3" applyNumberFormat="1" applyFont="1" applyFill="1" applyBorder="1" applyAlignment="1">
      <alignment horizontal="center" vertical="center" wrapText="1"/>
    </xf>
    <xf numFmtId="165" fontId="21" fillId="13" borderId="11" xfId="3" applyNumberFormat="1" applyFont="1" applyFill="1" applyBorder="1" applyAlignment="1">
      <alignment horizontal="center" vertical="center" wrapText="1"/>
    </xf>
    <xf numFmtId="165" fontId="15" fillId="8" borderId="12" xfId="3" applyNumberFormat="1" applyFont="1" applyFill="1" applyBorder="1" applyAlignment="1">
      <alignment horizontal="center" wrapText="1"/>
    </xf>
    <xf numFmtId="165" fontId="15" fillId="7" borderId="12" xfId="3" applyNumberFormat="1" applyFont="1" applyFill="1" applyBorder="1" applyAlignment="1">
      <alignment horizontal="center" wrapText="1"/>
    </xf>
    <xf numFmtId="165" fontId="15" fillId="7" borderId="6" xfId="3" applyNumberFormat="1" applyFont="1" applyFill="1" applyBorder="1" applyAlignment="1">
      <alignment horizontal="center" wrapText="1"/>
    </xf>
    <xf numFmtId="165" fontId="15" fillId="8" borderId="5" xfId="3" applyNumberFormat="1" applyFont="1" applyFill="1" applyBorder="1" applyAlignment="1">
      <alignment horizontal="center" wrapText="1"/>
    </xf>
    <xf numFmtId="165" fontId="15" fillId="7" borderId="17" xfId="3" applyNumberFormat="1" applyFont="1" applyFill="1" applyBorder="1" applyAlignment="1">
      <alignment horizontal="center" wrapText="1"/>
    </xf>
    <xf numFmtId="165" fontId="15" fillId="7" borderId="13" xfId="3" applyNumberFormat="1" applyFont="1" applyFill="1" applyBorder="1" applyAlignment="1">
      <alignment horizontal="center" wrapText="1"/>
    </xf>
    <xf numFmtId="165" fontId="15" fillId="7" borderId="0" xfId="3" applyNumberFormat="1" applyFont="1" applyFill="1" applyBorder="1" applyAlignment="1">
      <alignment horizontal="center" wrapText="1"/>
    </xf>
    <xf numFmtId="165" fontId="15" fillId="8" borderId="7" xfId="3" applyNumberFormat="1" applyFont="1" applyFill="1" applyBorder="1" applyAlignment="1">
      <alignment horizontal="center" wrapText="1"/>
    </xf>
    <xf numFmtId="165" fontId="15" fillId="7" borderId="18" xfId="3" applyNumberFormat="1" applyFont="1" applyFill="1" applyBorder="1" applyAlignment="1">
      <alignment horizontal="center" wrapText="1"/>
    </xf>
    <xf numFmtId="165" fontId="15" fillId="8" borderId="13" xfId="3" applyNumberFormat="1" applyFont="1" applyFill="1" applyBorder="1" applyAlignment="1">
      <alignment horizontal="center" wrapText="1"/>
    </xf>
    <xf numFmtId="165" fontId="15" fillId="7" borderId="16" xfId="3" applyNumberFormat="1" applyFont="1" applyFill="1" applyBorder="1" applyAlignment="1">
      <alignment horizontal="center" wrapText="1"/>
    </xf>
    <xf numFmtId="165" fontId="15" fillId="7" borderId="15" xfId="3" applyNumberFormat="1" applyFont="1" applyFill="1" applyBorder="1" applyAlignment="1">
      <alignment horizontal="center" wrapText="1"/>
    </xf>
    <xf numFmtId="165" fontId="15" fillId="8" borderId="14" xfId="3" applyNumberFormat="1" applyFont="1" applyFill="1" applyBorder="1" applyAlignment="1">
      <alignment horizontal="center" wrapText="1"/>
    </xf>
    <xf numFmtId="165" fontId="15" fillId="7" borderId="19" xfId="3" applyNumberFormat="1" applyFont="1" applyFill="1" applyBorder="1" applyAlignment="1">
      <alignment horizontal="center" wrapText="1"/>
    </xf>
    <xf numFmtId="165" fontId="15" fillId="8" borderId="16" xfId="3" applyNumberFormat="1" applyFont="1" applyFill="1" applyBorder="1" applyAlignment="1">
      <alignment horizontal="center" wrapText="1"/>
    </xf>
    <xf numFmtId="0" fontId="27" fillId="0" borderId="0" xfId="1" applyFont="1"/>
    <xf numFmtId="0" fontId="16" fillId="13" borderId="11" xfId="1" applyFont="1" applyFill="1" applyBorder="1" applyAlignment="1">
      <alignment horizontal="center"/>
    </xf>
    <xf numFmtId="0" fontId="23" fillId="13" borderId="13" xfId="1" applyFont="1" applyFill="1" applyBorder="1" applyAlignment="1">
      <alignment horizontal="center" vertical="center" wrapText="1"/>
    </xf>
    <xf numFmtId="0" fontId="15" fillId="0" borderId="0" xfId="1" applyFont="1" applyAlignment="1">
      <alignment vertical="center"/>
    </xf>
    <xf numFmtId="3" fontId="16" fillId="13" borderId="11" xfId="1" applyNumberFormat="1" applyFont="1" applyFill="1" applyBorder="1" applyAlignment="1">
      <alignment horizontal="left"/>
    </xf>
    <xf numFmtId="3" fontId="15" fillId="0" borderId="0" xfId="1" applyNumberFormat="1" applyFont="1" applyBorder="1" applyAlignment="1">
      <alignment horizontal="right"/>
    </xf>
    <xf numFmtId="3" fontId="15" fillId="9" borderId="12" xfId="1" applyNumberFormat="1" applyFont="1" applyFill="1" applyBorder="1" applyAlignment="1">
      <alignment horizontal="left"/>
    </xf>
    <xf numFmtId="165" fontId="15" fillId="8" borderId="17" xfId="3" applyNumberFormat="1" applyFont="1" applyFill="1" applyBorder="1" applyAlignment="1">
      <alignment horizontal="center" wrapText="1"/>
    </xf>
    <xf numFmtId="3" fontId="16" fillId="9" borderId="13" xfId="1" applyNumberFormat="1" applyFont="1" applyFill="1" applyBorder="1" applyAlignment="1">
      <alignment horizontal="left"/>
    </xf>
    <xf numFmtId="9" fontId="15" fillId="7" borderId="12" xfId="9" applyFont="1" applyFill="1" applyBorder="1" applyAlignment="1">
      <alignment horizontal="center"/>
    </xf>
    <xf numFmtId="3" fontId="15" fillId="9" borderId="13" xfId="1" applyNumberFormat="1" applyFont="1" applyFill="1" applyBorder="1" applyAlignment="1">
      <alignment horizontal="left"/>
    </xf>
    <xf numFmtId="165" fontId="15" fillId="8" borderId="18" xfId="3" applyNumberFormat="1" applyFont="1" applyFill="1" applyBorder="1" applyAlignment="1">
      <alignment horizontal="center" wrapText="1"/>
    </xf>
    <xf numFmtId="9" fontId="15" fillId="7" borderId="13" xfId="9" applyFont="1" applyFill="1" applyBorder="1" applyAlignment="1">
      <alignment horizontal="center"/>
    </xf>
    <xf numFmtId="3" fontId="15" fillId="9" borderId="16" xfId="1" applyNumberFormat="1" applyFont="1" applyFill="1" applyBorder="1" applyAlignment="1">
      <alignment horizontal="left"/>
    </xf>
    <xf numFmtId="9" fontId="15" fillId="7" borderId="16" xfId="9" applyFont="1" applyFill="1" applyBorder="1" applyAlignment="1">
      <alignment horizontal="center"/>
    </xf>
    <xf numFmtId="3" fontId="15" fillId="0" borderId="0" xfId="1" applyNumberFormat="1" applyFont="1" applyFill="1" applyBorder="1" applyAlignment="1">
      <alignment horizontal="right"/>
    </xf>
    <xf numFmtId="165" fontId="15" fillId="8" borderId="19" xfId="3" applyNumberFormat="1" applyFont="1" applyFill="1" applyBorder="1" applyAlignment="1">
      <alignment horizontal="center" wrapText="1"/>
    </xf>
    <xf numFmtId="165" fontId="15" fillId="7" borderId="12" xfId="9" applyNumberFormat="1" applyFont="1" applyFill="1" applyBorder="1" applyAlignment="1">
      <alignment horizontal="center"/>
    </xf>
    <xf numFmtId="165" fontId="15" fillId="7" borderId="13" xfId="9" applyNumberFormat="1" applyFont="1" applyFill="1" applyBorder="1" applyAlignment="1">
      <alignment horizontal="center"/>
    </xf>
    <xf numFmtId="3" fontId="16" fillId="9" borderId="16" xfId="1" applyNumberFormat="1" applyFont="1" applyFill="1" applyBorder="1" applyAlignment="1">
      <alignment horizontal="left"/>
    </xf>
    <xf numFmtId="3" fontId="23" fillId="0" borderId="0" xfId="1" applyNumberFormat="1" applyFont="1" applyBorder="1" applyAlignment="1">
      <alignment horizontal="left"/>
    </xf>
    <xf numFmtId="3" fontId="16" fillId="9" borderId="5" xfId="1" applyNumberFormat="1" applyFont="1" applyFill="1" applyBorder="1" applyAlignment="1">
      <alignment horizontal="left"/>
    </xf>
    <xf numFmtId="3" fontId="15" fillId="9" borderId="7" xfId="1" applyNumberFormat="1" applyFont="1" applyFill="1" applyBorder="1" applyAlignment="1">
      <alignment horizontal="left"/>
    </xf>
    <xf numFmtId="3" fontId="16" fillId="9" borderId="7" xfId="1" applyNumberFormat="1" applyFont="1" applyFill="1" applyBorder="1" applyAlignment="1">
      <alignment horizontal="left"/>
    </xf>
    <xf numFmtId="9" fontId="15" fillId="7" borderId="11" xfId="9" applyFont="1" applyFill="1" applyBorder="1" applyAlignment="1">
      <alignment horizontal="center"/>
    </xf>
    <xf numFmtId="0" fontId="27" fillId="0" borderId="0" xfId="1" applyFont="1" applyAlignment="1">
      <alignment horizontal="center" wrapText="1"/>
    </xf>
    <xf numFmtId="3" fontId="16" fillId="0" borderId="0" xfId="1" applyNumberFormat="1" applyFont="1" applyBorder="1" applyAlignment="1">
      <alignment horizontal="left"/>
    </xf>
    <xf numFmtId="3" fontId="16" fillId="13" borderId="11" xfId="1" applyNumberFormat="1" applyFont="1" applyFill="1" applyBorder="1" applyAlignment="1">
      <alignment horizontal="left" wrapText="1"/>
    </xf>
    <xf numFmtId="3" fontId="15" fillId="0" borderId="0" xfId="1" applyNumberFormat="1" applyFont="1" applyBorder="1" applyAlignment="1">
      <alignment horizontal="left"/>
    </xf>
    <xf numFmtId="3" fontId="16" fillId="13" borderId="11" xfId="1" applyNumberFormat="1" applyFont="1" applyFill="1" applyBorder="1" applyAlignment="1">
      <alignment horizontal="left" vertical="center"/>
    </xf>
    <xf numFmtId="165" fontId="19" fillId="8" borderId="12" xfId="3" applyNumberFormat="1" applyFont="1" applyFill="1" applyBorder="1" applyAlignment="1">
      <alignment horizontal="center" vertical="center"/>
    </xf>
    <xf numFmtId="0" fontId="15" fillId="0" borderId="0" xfId="1" applyFont="1" applyAlignment="1">
      <alignment wrapText="1"/>
    </xf>
    <xf numFmtId="165" fontId="19" fillId="8" borderId="11" xfId="3" applyNumberFormat="1" applyFont="1" applyFill="1" applyBorder="1" applyAlignment="1">
      <alignment horizontal="center" vertical="center"/>
    </xf>
    <xf numFmtId="3" fontId="15" fillId="9" borderId="5" xfId="1" applyNumberFormat="1" applyFont="1" applyFill="1" applyBorder="1" applyAlignment="1">
      <alignment horizontal="left"/>
    </xf>
    <xf numFmtId="3" fontId="15" fillId="9" borderId="14" xfId="1" applyNumberFormat="1" applyFont="1" applyFill="1" applyBorder="1" applyAlignment="1">
      <alignment horizontal="left"/>
    </xf>
    <xf numFmtId="3" fontId="16" fillId="13" borderId="11" xfId="1" applyNumberFormat="1" applyFont="1" applyFill="1" applyBorder="1" applyAlignment="1">
      <alignment horizontal="left" vertical="center" wrapText="1"/>
    </xf>
    <xf numFmtId="9" fontId="15" fillId="7" borderId="11" xfId="9" applyFont="1" applyFill="1" applyBorder="1" applyAlignment="1">
      <alignment horizontal="center" vertical="center"/>
    </xf>
    <xf numFmtId="0" fontId="27" fillId="0" borderId="0" xfId="1" applyFont="1" applyAlignment="1">
      <alignment horizontal="center" vertical="center" wrapText="1"/>
    </xf>
    <xf numFmtId="0" fontId="16" fillId="0" borderId="7" xfId="1" applyFont="1" applyFill="1" applyBorder="1" applyAlignment="1">
      <alignment wrapText="1"/>
    </xf>
    <xf numFmtId="0" fontId="17" fillId="2" borderId="3" xfId="0" applyFont="1" applyFill="1" applyBorder="1" applyAlignment="1">
      <alignment vertical="center" wrapText="1"/>
    </xf>
    <xf numFmtId="9" fontId="16" fillId="27" borderId="10" xfId="3" applyFont="1" applyFill="1" applyBorder="1" applyAlignment="1">
      <alignment horizontal="center" vertical="center"/>
    </xf>
    <xf numFmtId="9" fontId="16" fillId="27" borderId="11" xfId="3" applyFont="1" applyFill="1" applyBorder="1" applyAlignment="1">
      <alignment horizontal="center" vertical="center"/>
    </xf>
    <xf numFmtId="0" fontId="17" fillId="3" borderId="3" xfId="0" applyFont="1" applyFill="1" applyBorder="1" applyAlignment="1">
      <alignment vertical="center" wrapText="1"/>
    </xf>
    <xf numFmtId="0" fontId="16" fillId="11" borderId="10" xfId="1" applyFont="1" applyFill="1" applyBorder="1" applyAlignment="1">
      <alignment horizontal="center" wrapText="1"/>
    </xf>
    <xf numFmtId="9" fontId="16" fillId="16" borderId="10" xfId="3" applyFont="1" applyFill="1" applyBorder="1" applyAlignment="1">
      <alignment horizontal="center" vertical="center"/>
    </xf>
    <xf numFmtId="3" fontId="15" fillId="0" borderId="0" xfId="1" applyNumberFormat="1" applyFont="1" applyAlignment="1">
      <alignment horizontal="right"/>
    </xf>
    <xf numFmtId="3" fontId="15" fillId="0" borderId="0" xfId="1" applyNumberFormat="1" applyFont="1" applyAlignment="1">
      <alignment horizontal="left"/>
    </xf>
    <xf numFmtId="3" fontId="15" fillId="0" borderId="6" xfId="1" applyNumberFormat="1" applyFont="1" applyBorder="1" applyAlignment="1">
      <alignment horizontal="left"/>
    </xf>
    <xf numFmtId="3" fontId="15" fillId="0" borderId="6" xfId="1" applyNumberFormat="1" applyFont="1" applyBorder="1" applyAlignment="1">
      <alignment horizontal="right"/>
    </xf>
    <xf numFmtId="3" fontId="27" fillId="0" borderId="6" xfId="1" applyNumberFormat="1" applyFont="1" applyBorder="1" applyAlignment="1">
      <alignment horizontal="center"/>
    </xf>
    <xf numFmtId="3" fontId="16" fillId="0" borderId="0" xfId="1" applyNumberFormat="1" applyFont="1" applyFill="1" applyBorder="1" applyAlignment="1">
      <alignment horizontal="center"/>
    </xf>
    <xf numFmtId="3" fontId="15" fillId="17" borderId="5" xfId="2" applyNumberFormat="1" applyFont="1" applyFill="1" applyBorder="1" applyAlignment="1">
      <alignment horizontal="center"/>
    </xf>
    <xf numFmtId="3" fontId="15" fillId="17" borderId="6" xfId="2" applyNumberFormat="1" applyFont="1" applyFill="1" applyBorder="1" applyAlignment="1">
      <alignment horizontal="center"/>
    </xf>
    <xf numFmtId="3" fontId="15" fillId="17" borderId="7" xfId="2" applyNumberFormat="1" applyFont="1" applyFill="1" applyBorder="1" applyAlignment="1">
      <alignment horizontal="center"/>
    </xf>
    <xf numFmtId="3" fontId="15" fillId="17" borderId="0" xfId="2" applyNumberFormat="1" applyFont="1" applyFill="1" applyBorder="1" applyAlignment="1">
      <alignment horizontal="center"/>
    </xf>
    <xf numFmtId="3" fontId="15" fillId="17" borderId="14" xfId="2" applyNumberFormat="1" applyFont="1" applyFill="1" applyBorder="1" applyAlignment="1">
      <alignment horizontal="center"/>
    </xf>
    <xf numFmtId="3" fontId="15" fillId="17" borderId="15" xfId="2" applyNumberFormat="1" applyFont="1" applyFill="1" applyBorder="1" applyAlignment="1">
      <alignment horizontal="center"/>
    </xf>
    <xf numFmtId="167" fontId="15" fillId="0" borderId="12" xfId="1" applyNumberFormat="1" applyFont="1" applyFill="1" applyBorder="1"/>
    <xf numFmtId="167" fontId="15" fillId="0" borderId="13" xfId="1" applyNumberFormat="1" applyFont="1" applyFill="1" applyBorder="1"/>
    <xf numFmtId="167" fontId="15" fillId="0" borderId="16" xfId="1" applyNumberFormat="1" applyFont="1" applyFill="1" applyBorder="1"/>
    <xf numFmtId="3" fontId="19" fillId="8" borderId="10" xfId="3" applyNumberFormat="1" applyFont="1" applyFill="1" applyBorder="1" applyAlignment="1">
      <alignment horizontal="center"/>
    </xf>
    <xf numFmtId="3" fontId="19" fillId="17" borderId="8" xfId="2" applyNumberFormat="1" applyFont="1" applyFill="1" applyBorder="1" applyAlignment="1">
      <alignment horizontal="center"/>
    </xf>
    <xf numFmtId="3" fontId="19" fillId="17" borderId="9" xfId="2" applyNumberFormat="1" applyFont="1" applyFill="1" applyBorder="1" applyAlignment="1">
      <alignment horizontal="center"/>
    </xf>
    <xf numFmtId="3" fontId="19" fillId="17" borderId="10" xfId="2" applyNumberFormat="1" applyFont="1" applyFill="1" applyBorder="1" applyAlignment="1">
      <alignment horizontal="center"/>
    </xf>
    <xf numFmtId="3" fontId="15" fillId="17" borderId="8" xfId="2" applyNumberFormat="1" applyFont="1" applyFill="1" applyBorder="1" applyAlignment="1">
      <alignment horizontal="center"/>
    </xf>
    <xf numFmtId="3" fontId="15" fillId="17" borderId="9" xfId="2" applyNumberFormat="1" applyFont="1" applyFill="1" applyBorder="1" applyAlignment="1">
      <alignment horizontal="center"/>
    </xf>
    <xf numFmtId="3" fontId="15" fillId="17" borderId="10" xfId="2" applyNumberFormat="1" applyFont="1" applyFill="1" applyBorder="1" applyAlignment="1">
      <alignment horizontal="center"/>
    </xf>
    <xf numFmtId="3" fontId="15" fillId="14" borderId="9" xfId="1" applyNumberFormat="1" applyFont="1" applyFill="1" applyBorder="1" applyAlignment="1">
      <alignment horizontal="center"/>
    </xf>
    <xf numFmtId="3" fontId="15" fillId="14" borderId="10" xfId="1" applyNumberFormat="1" applyFont="1" applyFill="1" applyBorder="1" applyAlignment="1">
      <alignment horizontal="center"/>
    </xf>
    <xf numFmtId="3" fontId="15" fillId="17" borderId="8" xfId="1" applyNumberFormat="1" applyFont="1" applyFill="1" applyBorder="1" applyAlignment="1">
      <alignment horizontal="center"/>
    </xf>
    <xf numFmtId="3" fontId="15" fillId="17" borderId="9" xfId="1" applyNumberFormat="1" applyFont="1" applyFill="1" applyBorder="1" applyAlignment="1">
      <alignment horizontal="center"/>
    </xf>
    <xf numFmtId="3" fontId="15" fillId="17" borderId="10" xfId="1" applyNumberFormat="1" applyFont="1" applyFill="1" applyBorder="1" applyAlignment="1">
      <alignment horizontal="center"/>
    </xf>
    <xf numFmtId="0" fontId="22" fillId="23" borderId="4" xfId="1" applyFont="1" applyFill="1" applyBorder="1" applyAlignment="1"/>
    <xf numFmtId="3" fontId="15" fillId="14" borderId="8" xfId="2" applyNumberFormat="1" applyFont="1" applyFill="1" applyBorder="1" applyAlignment="1">
      <alignment horizontal="center"/>
    </xf>
    <xf numFmtId="3" fontId="15" fillId="14" borderId="9" xfId="2" applyNumberFormat="1" applyFont="1" applyFill="1" applyBorder="1" applyAlignment="1">
      <alignment horizontal="center"/>
    </xf>
    <xf numFmtId="3" fontId="15" fillId="14" borderId="10" xfId="2" applyNumberFormat="1" applyFont="1" applyFill="1" applyBorder="1" applyAlignment="1">
      <alignment horizontal="center"/>
    </xf>
    <xf numFmtId="3" fontId="15" fillId="17" borderId="9" xfId="2" applyNumberFormat="1" applyFont="1" applyFill="1" applyBorder="1" applyAlignment="1">
      <alignment horizontal="right"/>
    </xf>
    <xf numFmtId="3" fontId="15" fillId="17" borderId="10" xfId="2" applyNumberFormat="1" applyFont="1" applyFill="1" applyBorder="1" applyAlignment="1">
      <alignment horizontal="right"/>
    </xf>
    <xf numFmtId="165" fontId="16" fillId="14" borderId="8" xfId="3" applyNumberFormat="1" applyFont="1" applyFill="1" applyBorder="1" applyAlignment="1">
      <alignment horizontal="right" wrapText="1"/>
    </xf>
    <xf numFmtId="165" fontId="16" fillId="14" borderId="9" xfId="3" applyNumberFormat="1" applyFont="1" applyFill="1" applyBorder="1" applyAlignment="1">
      <alignment horizontal="right" wrapText="1"/>
    </xf>
    <xf numFmtId="165" fontId="16" fillId="14" borderId="10" xfId="3" applyNumberFormat="1" applyFont="1" applyFill="1" applyBorder="1" applyAlignment="1">
      <alignment horizontal="right" wrapText="1"/>
    </xf>
    <xf numFmtId="0" fontId="21" fillId="31" borderId="9" xfId="1" applyFont="1" applyFill="1" applyBorder="1" applyAlignment="1">
      <alignment horizontal="right"/>
    </xf>
    <xf numFmtId="0" fontId="21" fillId="31" borderId="9" xfId="1" applyFont="1" applyFill="1" applyBorder="1" applyAlignment="1"/>
    <xf numFmtId="0" fontId="29" fillId="31" borderId="8" xfId="1" applyFont="1" applyFill="1" applyBorder="1" applyAlignment="1"/>
    <xf numFmtId="0" fontId="29" fillId="31" borderId="9" xfId="1" applyFont="1" applyFill="1" applyBorder="1" applyAlignment="1">
      <alignment horizontal="right"/>
    </xf>
    <xf numFmtId="0" fontId="29" fillId="31" borderId="9" xfId="1" applyFont="1" applyFill="1" applyBorder="1" applyAlignment="1"/>
    <xf numFmtId="0" fontId="29" fillId="31" borderId="9" xfId="1" applyFont="1" applyFill="1" applyBorder="1" applyAlignment="1">
      <alignment horizontal="center"/>
    </xf>
    <xf numFmtId="0" fontId="0" fillId="0" borderId="0" xfId="0" applyFill="1" applyBorder="1"/>
    <xf numFmtId="3" fontId="16" fillId="6" borderId="5" xfId="0" applyNumberFormat="1" applyFont="1" applyFill="1" applyBorder="1" applyAlignment="1">
      <alignment horizontal="right"/>
    </xf>
    <xf numFmtId="165" fontId="15" fillId="13" borderId="11" xfId="3" applyNumberFormat="1" applyFont="1" applyFill="1" applyBorder="1" applyAlignment="1">
      <alignment horizontal="left" wrapText="1"/>
    </xf>
    <xf numFmtId="3" fontId="16" fillId="6" borderId="14" xfId="0" applyNumberFormat="1" applyFont="1" applyFill="1" applyBorder="1" applyAlignment="1">
      <alignment horizontal="right" vertical="center"/>
    </xf>
    <xf numFmtId="3" fontId="19" fillId="8" borderId="14" xfId="3" applyNumberFormat="1" applyFont="1" applyFill="1" applyBorder="1" applyAlignment="1">
      <alignment horizontal="center" vertical="center"/>
    </xf>
    <xf numFmtId="3" fontId="19" fillId="8" borderId="8" xfId="3" applyNumberFormat="1" applyFont="1" applyFill="1" applyBorder="1" applyAlignment="1">
      <alignment horizontal="center" vertical="center"/>
    </xf>
    <xf numFmtId="165" fontId="21" fillId="18" borderId="5" xfId="3" applyNumberFormat="1" applyFont="1" applyFill="1" applyBorder="1" applyAlignment="1">
      <alignment horizontal="center" vertical="center" wrapText="1"/>
    </xf>
    <xf numFmtId="3" fontId="19" fillId="8" borderId="5" xfId="3" applyNumberFormat="1" applyFont="1" applyFill="1" applyBorder="1" applyAlignment="1">
      <alignment horizontal="center" vertical="center"/>
    </xf>
    <xf numFmtId="3" fontId="19" fillId="8" borderId="6" xfId="3" applyNumberFormat="1" applyFont="1" applyFill="1" applyBorder="1" applyAlignment="1">
      <alignment horizontal="center" vertical="center"/>
    </xf>
    <xf numFmtId="3" fontId="19" fillId="8" borderId="17" xfId="3" applyNumberFormat="1" applyFont="1" applyFill="1" applyBorder="1" applyAlignment="1">
      <alignment horizontal="center" vertical="center"/>
    </xf>
    <xf numFmtId="3" fontId="19" fillId="8" borderId="7" xfId="3" applyNumberFormat="1" applyFont="1" applyFill="1" applyBorder="1" applyAlignment="1">
      <alignment horizontal="center" vertical="center"/>
    </xf>
    <xf numFmtId="3" fontId="19" fillId="8" borderId="0" xfId="3" applyNumberFormat="1" applyFont="1" applyFill="1" applyBorder="1" applyAlignment="1">
      <alignment horizontal="center" vertical="center"/>
    </xf>
    <xf numFmtId="3" fontId="19" fillId="8" borderId="18" xfId="3" applyNumberFormat="1" applyFont="1" applyFill="1" applyBorder="1" applyAlignment="1">
      <alignment horizontal="center" vertical="center"/>
    </xf>
    <xf numFmtId="3" fontId="19" fillId="8" borderId="15" xfId="3" applyNumberFormat="1" applyFont="1" applyFill="1" applyBorder="1" applyAlignment="1">
      <alignment horizontal="center" vertical="center"/>
    </xf>
    <xf numFmtId="3" fontId="19" fillId="8" borderId="19" xfId="3" applyNumberFormat="1" applyFont="1" applyFill="1" applyBorder="1" applyAlignment="1">
      <alignment horizontal="center" vertical="center"/>
    </xf>
    <xf numFmtId="3" fontId="19" fillId="8" borderId="9" xfId="3" applyNumberFormat="1" applyFont="1" applyFill="1" applyBorder="1" applyAlignment="1">
      <alignment horizontal="center" vertical="center"/>
    </xf>
    <xf numFmtId="3" fontId="19" fillId="8" borderId="10" xfId="3" applyNumberFormat="1" applyFont="1" applyFill="1" applyBorder="1" applyAlignment="1">
      <alignment horizontal="center" vertical="center"/>
    </xf>
    <xf numFmtId="3" fontId="16" fillId="6" borderId="12" xfId="0" applyNumberFormat="1" applyFont="1" applyFill="1" applyBorder="1" applyAlignment="1">
      <alignment horizontal="right"/>
    </xf>
    <xf numFmtId="3" fontId="16" fillId="6" borderId="13" xfId="0" applyNumberFormat="1" applyFont="1" applyFill="1" applyBorder="1" applyAlignment="1">
      <alignment horizontal="right"/>
    </xf>
    <xf numFmtId="3" fontId="16" fillId="6" borderId="16" xfId="0" applyNumberFormat="1" applyFont="1" applyFill="1" applyBorder="1" applyAlignment="1">
      <alignment horizontal="right"/>
    </xf>
    <xf numFmtId="3" fontId="16" fillId="17" borderId="9" xfId="2" applyNumberFormat="1" applyFont="1" applyFill="1" applyBorder="1" applyAlignment="1">
      <alignment horizontal="right"/>
    </xf>
    <xf numFmtId="3" fontId="16" fillId="17" borderId="8" xfId="2" applyNumberFormat="1" applyFont="1" applyFill="1" applyBorder="1" applyAlignment="1">
      <alignment horizontal="right"/>
    </xf>
    <xf numFmtId="3" fontId="16" fillId="17" borderId="10" xfId="2" applyNumberFormat="1" applyFont="1" applyFill="1" applyBorder="1" applyAlignment="1">
      <alignment horizontal="right"/>
    </xf>
    <xf numFmtId="0" fontId="16" fillId="0" borderId="6" xfId="1" applyFont="1" applyFill="1" applyBorder="1" applyAlignment="1">
      <alignment horizontal="center"/>
    </xf>
    <xf numFmtId="0" fontId="24" fillId="0" borderId="7" xfId="1" applyFont="1" applyFill="1" applyBorder="1" applyAlignment="1">
      <alignment horizontal="center" vertical="center" wrapText="1"/>
    </xf>
    <xf numFmtId="3" fontId="16" fillId="0" borderId="7" xfId="1" applyNumberFormat="1" applyFont="1" applyFill="1" applyBorder="1" applyAlignment="1">
      <alignment horizontal="center"/>
    </xf>
    <xf numFmtId="2" fontId="16" fillId="0" borderId="18" xfId="1" applyNumberFormat="1" applyFont="1" applyFill="1" applyBorder="1" applyAlignment="1">
      <alignment horizontal="center"/>
    </xf>
    <xf numFmtId="3" fontId="16" fillId="0" borderId="18" xfId="1" applyNumberFormat="1" applyFont="1" applyFill="1" applyBorder="1" applyAlignment="1">
      <alignment horizontal="center"/>
    </xf>
    <xf numFmtId="3" fontId="19" fillId="17" borderId="5" xfId="3" applyNumberFormat="1" applyFont="1" applyFill="1" applyBorder="1" applyAlignment="1">
      <alignment horizontal="right" wrapText="1"/>
    </xf>
    <xf numFmtId="3" fontId="19" fillId="17" borderId="6" xfId="3" applyNumberFormat="1" applyFont="1" applyFill="1" applyBorder="1" applyAlignment="1">
      <alignment horizontal="right" wrapText="1"/>
    </xf>
    <xf numFmtId="3" fontId="19" fillId="17" borderId="17" xfId="3" applyNumberFormat="1" applyFont="1" applyFill="1" applyBorder="1" applyAlignment="1">
      <alignment horizontal="right" wrapText="1"/>
    </xf>
    <xf numFmtId="3" fontId="19" fillId="17" borderId="14" xfId="3" applyNumberFormat="1" applyFont="1" applyFill="1" applyBorder="1" applyAlignment="1">
      <alignment horizontal="right" vertical="center" wrapText="1"/>
    </xf>
    <xf numFmtId="3" fontId="19" fillId="17" borderId="15" xfId="3" applyNumberFormat="1" applyFont="1" applyFill="1" applyBorder="1" applyAlignment="1">
      <alignment horizontal="right" vertical="center" wrapText="1"/>
    </xf>
    <xf numFmtId="3" fontId="19" fillId="17" borderId="19" xfId="3" applyNumberFormat="1" applyFont="1" applyFill="1" applyBorder="1" applyAlignment="1">
      <alignment horizontal="right" vertical="center" wrapText="1"/>
    </xf>
    <xf numFmtId="0" fontId="15" fillId="13" borderId="7" xfId="1" applyFont="1" applyFill="1" applyBorder="1" applyAlignment="1">
      <alignment horizontal="left" wrapText="1"/>
    </xf>
    <xf numFmtId="3" fontId="19" fillId="17" borderId="7" xfId="3" applyNumberFormat="1" applyFont="1" applyFill="1" applyBorder="1" applyAlignment="1">
      <alignment horizontal="right" vertical="center" wrapText="1"/>
    </xf>
    <xf numFmtId="3" fontId="19" fillId="17" borderId="0" xfId="3" applyNumberFormat="1" applyFont="1" applyFill="1" applyBorder="1" applyAlignment="1">
      <alignment horizontal="right" vertical="center" wrapText="1"/>
    </xf>
    <xf numFmtId="3" fontId="19" fillId="17" borderId="18" xfId="3" applyNumberFormat="1" applyFont="1" applyFill="1" applyBorder="1" applyAlignment="1">
      <alignment horizontal="right" vertical="center" wrapText="1"/>
    </xf>
    <xf numFmtId="3" fontId="15" fillId="13" borderId="5" xfId="1" applyNumberFormat="1" applyFont="1" applyFill="1" applyBorder="1" applyAlignment="1">
      <alignment horizontal="left" wrapText="1"/>
    </xf>
    <xf numFmtId="3" fontId="15" fillId="6" borderId="13" xfId="1" applyNumberFormat="1" applyFont="1" applyFill="1" applyBorder="1" applyAlignment="1">
      <alignment horizontal="right" vertical="center"/>
    </xf>
    <xf numFmtId="3" fontId="15" fillId="6" borderId="16" xfId="1" applyNumberFormat="1" applyFont="1" applyFill="1" applyBorder="1" applyAlignment="1">
      <alignment horizontal="right" vertical="center"/>
    </xf>
    <xf numFmtId="3" fontId="19" fillId="17" borderId="5" xfId="2" applyNumberFormat="1" applyFont="1" applyFill="1" applyBorder="1" applyAlignment="1">
      <alignment horizontal="right"/>
    </xf>
    <xf numFmtId="3" fontId="19" fillId="17" borderId="6" xfId="2" applyNumberFormat="1" applyFont="1" applyFill="1" applyBorder="1" applyAlignment="1">
      <alignment horizontal="right"/>
    </xf>
    <xf numFmtId="3" fontId="19" fillId="17" borderId="17" xfId="2" applyNumberFormat="1" applyFont="1" applyFill="1" applyBorder="1" applyAlignment="1">
      <alignment horizontal="right"/>
    </xf>
    <xf numFmtId="3" fontId="19" fillId="17" borderId="7" xfId="2" applyNumberFormat="1" applyFont="1" applyFill="1" applyBorder="1" applyAlignment="1">
      <alignment horizontal="right"/>
    </xf>
    <xf numFmtId="3" fontId="19" fillId="17" borderId="0" xfId="2" applyNumberFormat="1" applyFont="1" applyFill="1" applyBorder="1" applyAlignment="1">
      <alignment horizontal="right"/>
    </xf>
    <xf numFmtId="3" fontId="19" fillId="17" borderId="18" xfId="2" applyNumberFormat="1" applyFont="1" applyFill="1" applyBorder="1" applyAlignment="1">
      <alignment horizontal="right"/>
    </xf>
    <xf numFmtId="3" fontId="19" fillId="17" borderId="14" xfId="2" applyNumberFormat="1" applyFont="1" applyFill="1" applyBorder="1" applyAlignment="1">
      <alignment horizontal="right"/>
    </xf>
    <xf numFmtId="3" fontId="19" fillId="17" borderId="15" xfId="2" applyNumberFormat="1" applyFont="1" applyFill="1" applyBorder="1" applyAlignment="1">
      <alignment horizontal="right"/>
    </xf>
    <xf numFmtId="3" fontId="19" fillId="17" borderId="19" xfId="2" applyNumberFormat="1" applyFont="1" applyFill="1" applyBorder="1" applyAlignment="1">
      <alignment horizontal="right"/>
    </xf>
    <xf numFmtId="3" fontId="15" fillId="14" borderId="8" xfId="2" applyNumberFormat="1" applyFont="1" applyFill="1" applyBorder="1" applyAlignment="1">
      <alignment horizontal="right"/>
    </xf>
    <xf numFmtId="3" fontId="15" fillId="14" borderId="9" xfId="2" applyNumberFormat="1" applyFont="1" applyFill="1" applyBorder="1" applyAlignment="1">
      <alignment horizontal="right"/>
    </xf>
    <xf numFmtId="3" fontId="15" fillId="14" borderId="10" xfId="2" applyNumberFormat="1" applyFont="1" applyFill="1" applyBorder="1" applyAlignment="1">
      <alignment horizontal="right"/>
    </xf>
    <xf numFmtId="3" fontId="15" fillId="17" borderId="17" xfId="2" applyNumberFormat="1" applyFont="1" applyFill="1" applyBorder="1" applyAlignment="1">
      <alignment horizontal="right"/>
    </xf>
    <xf numFmtId="3" fontId="15" fillId="17" borderId="15" xfId="2" applyNumberFormat="1" applyFont="1" applyFill="1" applyBorder="1" applyAlignment="1">
      <alignment horizontal="right"/>
    </xf>
    <xf numFmtId="3" fontId="15" fillId="17" borderId="19" xfId="2" applyNumberFormat="1" applyFont="1" applyFill="1" applyBorder="1" applyAlignment="1">
      <alignment horizontal="right"/>
    </xf>
    <xf numFmtId="2" fontId="15" fillId="14" borderId="5" xfId="2" applyNumberFormat="1" applyFont="1" applyFill="1" applyBorder="1" applyAlignment="1">
      <alignment horizontal="right"/>
    </xf>
    <xf numFmtId="2" fontId="15" fillId="14" borderId="6" xfId="2" applyNumberFormat="1" applyFont="1" applyFill="1" applyBorder="1" applyAlignment="1">
      <alignment horizontal="right"/>
    </xf>
    <xf numFmtId="3" fontId="15" fillId="14" borderId="7" xfId="2" applyNumberFormat="1" applyFont="1" applyFill="1" applyBorder="1" applyAlignment="1">
      <alignment horizontal="right"/>
    </xf>
    <xf numFmtId="3" fontId="15" fillId="14" borderId="0" xfId="2" applyNumberFormat="1" applyFont="1" applyFill="1" applyBorder="1" applyAlignment="1">
      <alignment horizontal="right"/>
    </xf>
    <xf numFmtId="3" fontId="15" fillId="14" borderId="14" xfId="2" applyNumberFormat="1" applyFont="1" applyFill="1" applyBorder="1" applyAlignment="1">
      <alignment horizontal="right"/>
    </xf>
    <xf numFmtId="3" fontId="15" fillId="14" borderId="15" xfId="2" applyNumberFormat="1" applyFont="1" applyFill="1" applyBorder="1" applyAlignment="1">
      <alignment horizontal="right"/>
    </xf>
    <xf numFmtId="0" fontId="15" fillId="13" borderId="12" xfId="1" applyFont="1" applyFill="1" applyBorder="1" applyAlignment="1">
      <alignment wrapText="1"/>
    </xf>
    <xf numFmtId="0" fontId="15" fillId="13" borderId="13" xfId="1" applyFont="1" applyFill="1" applyBorder="1" applyAlignment="1">
      <alignment wrapText="1"/>
    </xf>
    <xf numFmtId="0" fontId="15" fillId="13" borderId="16" xfId="1" applyFont="1" applyFill="1" applyBorder="1" applyAlignment="1">
      <alignment wrapText="1"/>
    </xf>
    <xf numFmtId="3" fontId="16" fillId="14" borderId="10" xfId="2" applyNumberFormat="1" applyFont="1" applyFill="1" applyBorder="1" applyAlignment="1">
      <alignment horizontal="right"/>
    </xf>
    <xf numFmtId="0" fontId="2" fillId="13" borderId="12" xfId="1" applyFill="1" applyBorder="1" applyAlignment="1">
      <alignment horizontal="center" vertical="center"/>
    </xf>
    <xf numFmtId="0" fontId="2" fillId="13" borderId="13" xfId="1" applyFill="1" applyBorder="1" applyAlignment="1">
      <alignment horizontal="center" vertical="center"/>
    </xf>
    <xf numFmtId="0" fontId="2" fillId="13" borderId="16" xfId="1" applyFill="1" applyBorder="1" applyAlignment="1">
      <alignment horizontal="center" vertical="center"/>
    </xf>
    <xf numFmtId="0" fontId="3" fillId="0" borderId="0" xfId="1" applyFont="1" applyFill="1" applyBorder="1" applyAlignment="1">
      <alignment horizontal="left"/>
    </xf>
    <xf numFmtId="3" fontId="15" fillId="9" borderId="5" xfId="0" applyNumberFormat="1" applyFont="1" applyFill="1" applyBorder="1" applyAlignment="1">
      <alignment horizontal="left"/>
    </xf>
    <xf numFmtId="3" fontId="15" fillId="9" borderId="7" xfId="0" applyNumberFormat="1" applyFont="1" applyFill="1" applyBorder="1" applyAlignment="1">
      <alignment horizontal="left"/>
    </xf>
    <xf numFmtId="3" fontId="15" fillId="9" borderId="14" xfId="0" applyNumberFormat="1" applyFont="1" applyFill="1" applyBorder="1" applyAlignment="1">
      <alignment horizontal="left"/>
    </xf>
    <xf numFmtId="0" fontId="0" fillId="0" borderId="0" xfId="0" applyBorder="1"/>
    <xf numFmtId="0" fontId="2" fillId="10" borderId="11" xfId="0" applyFont="1" applyFill="1" applyBorder="1" applyAlignment="1">
      <alignment horizontal="left" vertical="center" wrapText="1"/>
    </xf>
    <xf numFmtId="0" fontId="2" fillId="13" borderId="11" xfId="0" applyFont="1" applyFill="1" applyBorder="1" applyAlignment="1">
      <alignment horizontal="center" vertical="center" wrapText="1"/>
    </xf>
    <xf numFmtId="0" fontId="3" fillId="13" borderId="17" xfId="1" applyFont="1" applyFill="1" applyBorder="1" applyAlignment="1">
      <alignment horizontal="center" vertical="center" wrapText="1"/>
    </xf>
    <xf numFmtId="0" fontId="4" fillId="0" borderId="27" xfId="1" applyFont="1" applyBorder="1"/>
    <xf numFmtId="0" fontId="2" fillId="0" borderId="28" xfId="1" applyBorder="1"/>
    <xf numFmtId="0" fontId="2" fillId="0" borderId="27" xfId="1" applyBorder="1"/>
    <xf numFmtId="0" fontId="2" fillId="11" borderId="30" xfId="1" applyFont="1" applyFill="1" applyBorder="1"/>
    <xf numFmtId="0" fontId="2" fillId="0" borderId="31" xfId="1" applyBorder="1"/>
    <xf numFmtId="0" fontId="3" fillId="13" borderId="33" xfId="1" applyFont="1" applyFill="1" applyBorder="1" applyAlignment="1">
      <alignment horizontal="center" vertical="center" wrapText="1"/>
    </xf>
    <xf numFmtId="0" fontId="3" fillId="13" borderId="34" xfId="1" applyFont="1" applyFill="1" applyBorder="1" applyAlignment="1">
      <alignment horizontal="center" vertical="center" wrapText="1"/>
    </xf>
    <xf numFmtId="165" fontId="0" fillId="13" borderId="33" xfId="3" applyNumberFormat="1" applyFont="1" applyFill="1" applyBorder="1" applyAlignment="1">
      <alignment horizontal="center"/>
    </xf>
    <xf numFmtId="165" fontId="0" fillId="13" borderId="34" xfId="3" applyNumberFormat="1" applyFont="1" applyFill="1" applyBorder="1" applyAlignment="1">
      <alignment horizontal="center"/>
    </xf>
    <xf numFmtId="165" fontId="3" fillId="13" borderId="35" xfId="3" applyNumberFormat="1" applyFont="1" applyFill="1" applyBorder="1" applyAlignment="1">
      <alignment horizontal="center"/>
    </xf>
    <xf numFmtId="165" fontId="0" fillId="13" borderId="36" xfId="3" applyNumberFormat="1" applyFont="1" applyFill="1" applyBorder="1" applyAlignment="1">
      <alignment horizontal="center"/>
    </xf>
    <xf numFmtId="165" fontId="3" fillId="13" borderId="37" xfId="3" applyNumberFormat="1" applyFont="1" applyFill="1" applyBorder="1" applyAlignment="1">
      <alignment horizontal="center"/>
    </xf>
    <xf numFmtId="165" fontId="0" fillId="13" borderId="38" xfId="3" applyNumberFormat="1" applyFont="1" applyFill="1" applyBorder="1" applyAlignment="1">
      <alignment horizontal="center"/>
    </xf>
    <xf numFmtId="0" fontId="2" fillId="0" borderId="27" xfId="1" applyFill="1" applyBorder="1"/>
    <xf numFmtId="0" fontId="2" fillId="0" borderId="28" xfId="1" applyFill="1" applyBorder="1"/>
    <xf numFmtId="0" fontId="3" fillId="11" borderId="30" xfId="1" applyFont="1" applyFill="1" applyBorder="1" applyAlignment="1">
      <alignment wrapText="1"/>
    </xf>
    <xf numFmtId="0" fontId="3" fillId="11" borderId="30" xfId="1" applyFont="1" applyFill="1" applyBorder="1" applyAlignment="1">
      <alignment vertical="center" wrapText="1"/>
    </xf>
    <xf numFmtId="0" fontId="3" fillId="13" borderId="33" xfId="1" applyFont="1" applyFill="1" applyBorder="1" applyAlignment="1">
      <alignment horizontal="center" wrapText="1"/>
    </xf>
    <xf numFmtId="165" fontId="0" fillId="13" borderId="30" xfId="3" applyNumberFormat="1" applyFont="1" applyFill="1" applyBorder="1" applyAlignment="1">
      <alignment horizontal="center"/>
    </xf>
    <xf numFmtId="0" fontId="3" fillId="11" borderId="33" xfId="1" applyFont="1" applyFill="1" applyBorder="1" applyAlignment="1">
      <alignment wrapText="1"/>
    </xf>
    <xf numFmtId="0" fontId="3" fillId="11" borderId="35" xfId="1" applyFont="1" applyFill="1" applyBorder="1" applyAlignment="1">
      <alignment wrapText="1"/>
    </xf>
    <xf numFmtId="0" fontId="3" fillId="11" borderId="37" xfId="1" applyFont="1" applyFill="1" applyBorder="1" applyAlignment="1">
      <alignment wrapText="1"/>
    </xf>
    <xf numFmtId="0" fontId="0" fillId="0" borderId="27" xfId="0" applyBorder="1"/>
    <xf numFmtId="0" fontId="3" fillId="11" borderId="39" xfId="1" applyFont="1" applyFill="1" applyBorder="1" applyAlignment="1">
      <alignment wrapText="1"/>
    </xf>
    <xf numFmtId="165" fontId="3" fillId="6" borderId="40" xfId="3" applyNumberFormat="1" applyFont="1" applyFill="1" applyBorder="1" applyAlignment="1">
      <alignment horizontal="center"/>
    </xf>
    <xf numFmtId="0" fontId="2" fillId="0" borderId="41" xfId="1" applyBorder="1"/>
    <xf numFmtId="0" fontId="2" fillId="0" borderId="42" xfId="1" applyBorder="1"/>
    <xf numFmtId="0" fontId="33" fillId="17" borderId="0" xfId="1" applyFont="1" applyFill="1" applyBorder="1" applyAlignment="1">
      <alignment horizontal="left" wrapText="1"/>
    </xf>
    <xf numFmtId="0" fontId="33" fillId="13" borderId="29" xfId="1" applyFont="1" applyFill="1" applyBorder="1" applyAlignment="1">
      <alignment wrapText="1"/>
    </xf>
    <xf numFmtId="0" fontId="33" fillId="13" borderId="9" xfId="1" applyFont="1" applyFill="1" applyBorder="1" applyAlignment="1">
      <alignment wrapText="1"/>
    </xf>
    <xf numFmtId="0" fontId="33" fillId="17" borderId="27" xfId="1" applyFont="1" applyFill="1" applyBorder="1" applyAlignment="1">
      <alignment horizontal="left" wrapText="1"/>
    </xf>
    <xf numFmtId="0" fontId="33" fillId="17" borderId="15" xfId="1" applyFont="1" applyFill="1" applyBorder="1" applyAlignment="1">
      <alignment horizontal="left" wrapText="1"/>
    </xf>
    <xf numFmtId="0" fontId="33" fillId="17" borderId="19" xfId="1" applyFont="1" applyFill="1" applyBorder="1" applyAlignment="1">
      <alignment horizontal="left" wrapText="1"/>
    </xf>
    <xf numFmtId="0" fontId="33" fillId="13" borderId="32" xfId="1" applyFont="1" applyFill="1" applyBorder="1" applyAlignment="1">
      <alignment wrapText="1"/>
    </xf>
    <xf numFmtId="0" fontId="34" fillId="32" borderId="11" xfId="1" applyFont="1" applyFill="1" applyBorder="1" applyAlignment="1"/>
    <xf numFmtId="0" fontId="16" fillId="32" borderId="9" xfId="1" applyFont="1" applyFill="1" applyBorder="1" applyAlignment="1"/>
    <xf numFmtId="0" fontId="35" fillId="0" borderId="0" xfId="1" applyFont="1" applyFill="1" applyBorder="1" applyAlignment="1">
      <alignment horizontal="center"/>
    </xf>
    <xf numFmtId="0" fontId="16" fillId="11" borderId="12" xfId="1" applyFont="1" applyFill="1" applyBorder="1" applyAlignment="1">
      <alignment horizontal="center"/>
    </xf>
    <xf numFmtId="0" fontId="16" fillId="11" borderId="5" xfId="1" applyFont="1" applyFill="1" applyBorder="1"/>
    <xf numFmtId="0" fontId="16" fillId="11" borderId="17" xfId="1" applyFont="1" applyFill="1" applyBorder="1" applyAlignment="1">
      <alignment horizontal="center"/>
    </xf>
    <xf numFmtId="0" fontId="16" fillId="11" borderId="12" xfId="1" applyFont="1" applyFill="1" applyBorder="1"/>
    <xf numFmtId="0" fontId="16" fillId="11" borderId="11" xfId="1" applyFont="1" applyFill="1" applyBorder="1"/>
    <xf numFmtId="3" fontId="16" fillId="6" borderId="5" xfId="1" applyNumberFormat="1" applyFont="1" applyFill="1" applyBorder="1" applyAlignment="1">
      <alignment horizontal="center"/>
    </xf>
    <xf numFmtId="3" fontId="15" fillId="14" borderId="12" xfId="2" applyNumberFormat="1" applyFont="1" applyFill="1" applyBorder="1" applyAlignment="1">
      <alignment horizontal="center" wrapText="1"/>
    </xf>
    <xf numFmtId="3" fontId="16" fillId="6" borderId="7" xfId="1" applyNumberFormat="1" applyFont="1" applyFill="1" applyBorder="1" applyAlignment="1">
      <alignment horizontal="center"/>
    </xf>
    <xf numFmtId="3" fontId="15" fillId="14" borderId="13" xfId="2" applyNumberFormat="1" applyFont="1" applyFill="1" applyBorder="1" applyAlignment="1">
      <alignment horizontal="center" wrapText="1"/>
    </xf>
    <xf numFmtId="3" fontId="16" fillId="6" borderId="14" xfId="1" applyNumberFormat="1" applyFont="1" applyFill="1" applyBorder="1" applyAlignment="1">
      <alignment horizontal="center"/>
    </xf>
    <xf numFmtId="3" fontId="15" fillId="14" borderId="16" xfId="2" applyNumberFormat="1" applyFont="1" applyFill="1" applyBorder="1" applyAlignment="1">
      <alignment horizontal="center" wrapText="1"/>
    </xf>
    <xf numFmtId="1" fontId="15" fillId="0" borderId="11" xfId="2" applyNumberFormat="1" applyFont="1" applyFill="1" applyBorder="1" applyAlignment="1">
      <alignment horizontal="left" wrapText="1"/>
    </xf>
    <xf numFmtId="1" fontId="15" fillId="0" borderId="0" xfId="2" applyNumberFormat="1" applyFont="1" applyFill="1" applyBorder="1" applyAlignment="1">
      <alignment horizontal="center" wrapText="1"/>
    </xf>
    <xf numFmtId="0" fontId="16" fillId="11" borderId="11" xfId="1" applyFont="1" applyFill="1" applyBorder="1" applyAlignment="1">
      <alignment wrapText="1"/>
    </xf>
    <xf numFmtId="3" fontId="16" fillId="6" borderId="8" xfId="1" applyNumberFormat="1" applyFont="1" applyFill="1" applyBorder="1" applyAlignment="1">
      <alignment horizontal="center" vertical="center"/>
    </xf>
    <xf numFmtId="1" fontId="16" fillId="14" borderId="8" xfId="2" applyNumberFormat="1" applyFont="1" applyFill="1" applyBorder="1" applyAlignment="1">
      <alignment horizontal="center" vertical="center" wrapText="1"/>
    </xf>
    <xf numFmtId="0" fontId="16" fillId="11" borderId="11" xfId="1" applyFont="1" applyFill="1" applyBorder="1" applyAlignment="1"/>
    <xf numFmtId="1" fontId="15" fillId="11" borderId="11" xfId="2" applyNumberFormat="1" applyFont="1" applyFill="1" applyBorder="1" applyAlignment="1">
      <alignment horizontal="center" wrapText="1"/>
    </xf>
    <xf numFmtId="1" fontId="15" fillId="14" borderId="12" xfId="2" applyNumberFormat="1" applyFont="1" applyFill="1" applyBorder="1" applyAlignment="1">
      <alignment horizontal="center" wrapText="1"/>
    </xf>
    <xf numFmtId="1" fontId="15" fillId="14" borderId="13" xfId="2" applyNumberFormat="1" applyFont="1" applyFill="1" applyBorder="1" applyAlignment="1">
      <alignment horizontal="center" wrapText="1"/>
    </xf>
    <xf numFmtId="1" fontId="15" fillId="14" borderId="16" xfId="2" applyNumberFormat="1" applyFont="1" applyFill="1" applyBorder="1" applyAlignment="1">
      <alignment horizontal="center" wrapText="1"/>
    </xf>
    <xf numFmtId="0" fontId="15" fillId="0" borderId="0" xfId="0" applyFont="1" applyFill="1" applyBorder="1" applyAlignment="1">
      <alignment horizontal="left" wrapText="1"/>
    </xf>
    <xf numFmtId="165" fontId="16" fillId="8" borderId="5" xfId="3" applyNumberFormat="1" applyFont="1" applyFill="1" applyBorder="1" applyAlignment="1">
      <alignment horizontal="left" vertical="center" wrapText="1"/>
    </xf>
    <xf numFmtId="0" fontId="16" fillId="32" borderId="5" xfId="0" applyFont="1" applyFill="1" applyBorder="1" applyAlignment="1">
      <alignment horizontal="center" vertical="center" wrapText="1"/>
    </xf>
    <xf numFmtId="0" fontId="16" fillId="32" borderId="11" xfId="0" applyFont="1" applyFill="1" applyBorder="1" applyAlignment="1">
      <alignment horizontal="center" vertical="center" wrapText="1"/>
    </xf>
    <xf numFmtId="0" fontId="16" fillId="32" borderId="12" xfId="0" applyFont="1" applyFill="1" applyBorder="1" applyAlignment="1">
      <alignment horizontal="center" vertical="center" wrapText="1"/>
    </xf>
    <xf numFmtId="3" fontId="15" fillId="9" borderId="12" xfId="0" applyNumberFormat="1" applyFont="1" applyFill="1" applyBorder="1" applyAlignment="1">
      <alignment horizontal="left"/>
    </xf>
    <xf numFmtId="9" fontId="15" fillId="7" borderId="17" xfId="3" applyNumberFormat="1" applyFont="1" applyFill="1" applyBorder="1" applyAlignment="1">
      <alignment horizontal="center"/>
    </xf>
    <xf numFmtId="9" fontId="15" fillId="7" borderId="0" xfId="3" applyNumberFormat="1" applyFont="1" applyFill="1" applyBorder="1" applyAlignment="1">
      <alignment horizontal="center"/>
    </xf>
    <xf numFmtId="9" fontId="15" fillId="7" borderId="6" xfId="3" applyNumberFormat="1" applyFont="1" applyFill="1" applyBorder="1" applyAlignment="1">
      <alignment horizontal="center"/>
    </xf>
    <xf numFmtId="9" fontId="15" fillId="7" borderId="12" xfId="3" applyNumberFormat="1" applyFont="1" applyFill="1" applyBorder="1" applyAlignment="1">
      <alignment horizontal="center"/>
    </xf>
    <xf numFmtId="3" fontId="15" fillId="9" borderId="13" xfId="0" applyNumberFormat="1" applyFont="1" applyFill="1" applyBorder="1" applyAlignment="1">
      <alignment horizontal="left"/>
    </xf>
    <xf numFmtId="9" fontId="15" fillId="7" borderId="18" xfId="3" applyNumberFormat="1" applyFont="1" applyFill="1" applyBorder="1" applyAlignment="1">
      <alignment horizontal="center"/>
    </xf>
    <xf numFmtId="9" fontId="15" fillId="7" borderId="13" xfId="3" applyNumberFormat="1" applyFont="1" applyFill="1" applyBorder="1" applyAlignment="1">
      <alignment horizontal="center"/>
    </xf>
    <xf numFmtId="3" fontId="15" fillId="9" borderId="16" xfId="0" applyNumberFormat="1" applyFont="1" applyFill="1" applyBorder="1" applyAlignment="1">
      <alignment horizontal="left"/>
    </xf>
    <xf numFmtId="9" fontId="15" fillId="7" borderId="19" xfId="3" applyNumberFormat="1" applyFont="1" applyFill="1" applyBorder="1" applyAlignment="1">
      <alignment horizontal="center"/>
    </xf>
    <xf numFmtId="9" fontId="15" fillId="7" borderId="15" xfId="3" applyNumberFormat="1" applyFont="1" applyFill="1" applyBorder="1" applyAlignment="1">
      <alignment horizontal="center"/>
    </xf>
    <xf numFmtId="9" fontId="15" fillId="7" borderId="16" xfId="3" applyNumberFormat="1" applyFont="1" applyFill="1" applyBorder="1" applyAlignment="1">
      <alignment horizontal="center"/>
    </xf>
    <xf numFmtId="165" fontId="16" fillId="8" borderId="8" xfId="3" applyNumberFormat="1" applyFont="1" applyFill="1" applyBorder="1" applyAlignment="1">
      <alignment horizontal="left" vertical="center" wrapText="1"/>
    </xf>
    <xf numFmtId="0" fontId="19" fillId="0" borderId="0" xfId="0" applyFont="1" applyFill="1" applyBorder="1"/>
    <xf numFmtId="0" fontId="19" fillId="0" borderId="0" xfId="0" applyFont="1"/>
    <xf numFmtId="3" fontId="1" fillId="10" borderId="0" xfId="0" applyNumberFormat="1" applyFont="1" applyFill="1" applyBorder="1" applyAlignment="1">
      <alignment horizontal="right"/>
    </xf>
    <xf numFmtId="165" fontId="36" fillId="35" borderId="12" xfId="17" applyNumberFormat="1" applyBorder="1" applyAlignment="1">
      <alignment horizontal="center" wrapText="1"/>
    </xf>
    <xf numFmtId="165" fontId="21" fillId="18" borderId="11" xfId="3" applyNumberFormat="1" applyFont="1" applyFill="1" applyBorder="1" applyAlignment="1">
      <alignment horizontal="center" vertical="center" wrapText="1"/>
    </xf>
    <xf numFmtId="0" fontId="23" fillId="13" borderId="13" xfId="0" applyFont="1" applyFill="1" applyBorder="1" applyAlignment="1">
      <alignment horizontal="center" vertical="center" wrapText="1"/>
    </xf>
    <xf numFmtId="0" fontId="15" fillId="0" borderId="0" xfId="10" applyFont="1" applyFill="1" applyBorder="1" applyAlignment="1">
      <alignment vertical="center"/>
    </xf>
    <xf numFmtId="0" fontId="16" fillId="13" borderId="11" xfId="0" applyFont="1" applyFill="1" applyBorder="1" applyAlignment="1">
      <alignment horizontal="center" vertical="center"/>
    </xf>
    <xf numFmtId="3" fontId="36" fillId="35" borderId="0" xfId="17" applyNumberFormat="1" applyBorder="1" applyAlignment="1">
      <alignment horizontal="center"/>
    </xf>
    <xf numFmtId="165" fontId="36" fillId="35" borderId="13" xfId="17" applyNumberFormat="1" applyBorder="1" applyAlignment="1">
      <alignment horizontal="center"/>
    </xf>
    <xf numFmtId="3" fontId="36" fillId="35" borderId="15" xfId="17" applyNumberFormat="1" applyBorder="1" applyAlignment="1">
      <alignment horizontal="center"/>
    </xf>
    <xf numFmtId="165" fontId="36" fillId="35" borderId="16" xfId="17" applyNumberFormat="1" applyBorder="1" applyAlignment="1">
      <alignment horizontal="center"/>
    </xf>
    <xf numFmtId="0" fontId="36" fillId="35" borderId="33" xfId="17" applyBorder="1" applyAlignment="1">
      <alignment wrapText="1"/>
    </xf>
    <xf numFmtId="0" fontId="36" fillId="35" borderId="12" xfId="17" applyBorder="1" applyAlignment="1">
      <alignment horizontal="center" vertical="center" wrapText="1"/>
    </xf>
    <xf numFmtId="3" fontId="36" fillId="35" borderId="33" xfId="17" applyNumberFormat="1" applyBorder="1" applyAlignment="1">
      <alignment horizontal="left"/>
    </xf>
    <xf numFmtId="3" fontId="36" fillId="35" borderId="6" xfId="17" applyNumberFormat="1" applyBorder="1" applyAlignment="1">
      <alignment horizontal="center"/>
    </xf>
    <xf numFmtId="165" fontId="36" fillId="35" borderId="12" xfId="17" applyNumberFormat="1" applyBorder="1" applyAlignment="1">
      <alignment horizontal="center"/>
    </xf>
    <xf numFmtId="3" fontId="36" fillId="35" borderId="35" xfId="17" applyNumberFormat="1" applyBorder="1" applyAlignment="1">
      <alignment horizontal="left"/>
    </xf>
    <xf numFmtId="3" fontId="36" fillId="35" borderId="37" xfId="17" applyNumberFormat="1" applyBorder="1" applyAlignment="1">
      <alignment horizontal="left"/>
    </xf>
    <xf numFmtId="0" fontId="36" fillId="35" borderId="12" xfId="17" applyBorder="1" applyAlignment="1">
      <alignment horizontal="center" vertical="center"/>
    </xf>
    <xf numFmtId="2" fontId="36" fillId="35" borderId="7" xfId="17" applyNumberFormat="1" applyBorder="1" applyAlignment="1">
      <alignment horizontal="center" vertical="center"/>
    </xf>
    <xf numFmtId="2" fontId="36" fillId="35" borderId="14" xfId="17" applyNumberFormat="1" applyBorder="1" applyAlignment="1">
      <alignment horizontal="center" vertical="center"/>
    </xf>
    <xf numFmtId="3" fontId="36" fillId="35" borderId="8" xfId="17" applyNumberFormat="1" applyBorder="1" applyAlignment="1">
      <alignment horizontal="right" wrapText="1"/>
    </xf>
    <xf numFmtId="3" fontId="36" fillId="35" borderId="9" xfId="17" applyNumberFormat="1" applyBorder="1" applyAlignment="1">
      <alignment horizontal="right" wrapText="1"/>
    </xf>
    <xf numFmtId="3" fontId="36" fillId="35" borderId="10" xfId="17" applyNumberFormat="1" applyBorder="1" applyAlignment="1">
      <alignment horizontal="right" wrapText="1"/>
    </xf>
    <xf numFmtId="0" fontId="36" fillId="35" borderId="5" xfId="17" applyNumberFormat="1" applyBorder="1" applyAlignment="1">
      <alignment horizontal="center" vertical="center"/>
    </xf>
    <xf numFmtId="0" fontId="16" fillId="11" borderId="9" xfId="1" applyFont="1" applyFill="1" applyBorder="1" applyAlignment="1">
      <alignment horizontal="center" wrapText="1"/>
    </xf>
    <xf numFmtId="3" fontId="15" fillId="17" borderId="10" xfId="1" applyNumberFormat="1" applyFont="1" applyFill="1" applyBorder="1" applyAlignment="1">
      <alignment horizontal="left" vertical="center" wrapText="1"/>
    </xf>
    <xf numFmtId="0" fontId="25" fillId="0" borderId="0" xfId="1" applyFont="1"/>
    <xf numFmtId="0" fontId="14" fillId="0" borderId="0" xfId="1" applyFont="1"/>
    <xf numFmtId="0" fontId="15" fillId="0" borderId="7" xfId="10" applyFont="1" applyFill="1" applyBorder="1"/>
    <xf numFmtId="3" fontId="12" fillId="23" borderId="6" xfId="1" applyNumberFormat="1" applyFont="1" applyFill="1" applyBorder="1" applyAlignment="1">
      <alignment horizontal="left"/>
    </xf>
    <xf numFmtId="3" fontId="12" fillId="23" borderId="6" xfId="1" applyNumberFormat="1" applyFont="1" applyFill="1" applyBorder="1" applyAlignment="1">
      <alignment horizontal="right"/>
    </xf>
    <xf numFmtId="3" fontId="12" fillId="23" borderId="0" xfId="1" applyNumberFormat="1" applyFont="1" applyFill="1" applyBorder="1" applyAlignment="1">
      <alignment horizontal="right"/>
    </xf>
    <xf numFmtId="3" fontId="12" fillId="23" borderId="6" xfId="1" applyNumberFormat="1" applyFont="1" applyFill="1" applyBorder="1" applyAlignment="1">
      <alignment horizontal="center"/>
    </xf>
    <xf numFmtId="3" fontId="12" fillId="23" borderId="0" xfId="1" applyNumberFormat="1" applyFont="1" applyFill="1" applyAlignment="1">
      <alignment horizontal="right"/>
    </xf>
    <xf numFmtId="3" fontId="2" fillId="0" borderId="6" xfId="1" applyNumberFormat="1" applyFont="1" applyBorder="1" applyAlignment="1">
      <alignment horizontal="left"/>
    </xf>
    <xf numFmtId="3" fontId="2" fillId="0" borderId="6" xfId="1" applyNumberFormat="1" applyFont="1" applyBorder="1" applyAlignment="1">
      <alignment horizontal="right"/>
    </xf>
    <xf numFmtId="3" fontId="2" fillId="0" borderId="0" xfId="1" applyNumberFormat="1" applyFont="1" applyBorder="1" applyAlignment="1">
      <alignment horizontal="right"/>
    </xf>
    <xf numFmtId="3" fontId="4" fillId="0" borderId="6" xfId="1" applyNumberFormat="1" applyFont="1" applyBorder="1" applyAlignment="1">
      <alignment horizontal="center"/>
    </xf>
    <xf numFmtId="3" fontId="3" fillId="4" borderId="8" xfId="1" applyNumberFormat="1" applyFont="1" applyFill="1" applyBorder="1" applyAlignment="1">
      <alignment horizontal="left"/>
    </xf>
    <xf numFmtId="3" fontId="3" fillId="4" borderId="9" xfId="1" applyNumberFormat="1" applyFont="1" applyFill="1" applyBorder="1" applyAlignment="1">
      <alignment horizontal="left"/>
    </xf>
    <xf numFmtId="3" fontId="3" fillId="4" borderId="10" xfId="1" applyNumberFormat="1" applyFont="1" applyFill="1" applyBorder="1" applyAlignment="1">
      <alignment horizontal="left"/>
    </xf>
    <xf numFmtId="3" fontId="3" fillId="0" borderId="0" xfId="1" applyNumberFormat="1" applyFont="1" applyFill="1" applyBorder="1" applyAlignment="1">
      <alignment horizontal="center"/>
    </xf>
    <xf numFmtId="3" fontId="3" fillId="4" borderId="11" xfId="1" applyNumberFormat="1" applyFont="1" applyFill="1" applyBorder="1" applyAlignment="1">
      <alignment horizontal="center"/>
    </xf>
    <xf numFmtId="165" fontId="3" fillId="18" borderId="8" xfId="3" applyNumberFormat="1" applyFont="1" applyFill="1" applyBorder="1" applyAlignment="1">
      <alignment horizontal="center" wrapText="1"/>
    </xf>
    <xf numFmtId="165" fontId="3" fillId="18" borderId="11" xfId="3" applyNumberFormat="1" applyFont="1" applyFill="1" applyBorder="1" applyAlignment="1">
      <alignment horizontal="center" wrapText="1"/>
    </xf>
    <xf numFmtId="1" fontId="2" fillId="0" borderId="0" xfId="1" applyNumberFormat="1" applyFont="1" applyBorder="1" applyAlignment="1">
      <alignment horizontal="left"/>
    </xf>
    <xf numFmtId="1" fontId="3" fillId="6" borderId="12" xfId="2" applyNumberFormat="1" applyFont="1" applyFill="1" applyBorder="1" applyAlignment="1">
      <alignment horizontal="center"/>
    </xf>
    <xf numFmtId="1" fontId="3" fillId="17" borderId="13" xfId="1" applyNumberFormat="1" applyFont="1" applyFill="1" applyBorder="1" applyAlignment="1">
      <alignment horizontal="center"/>
    </xf>
    <xf numFmtId="1" fontId="3" fillId="6" borderId="13" xfId="2" applyNumberFormat="1" applyFont="1" applyFill="1" applyBorder="1" applyAlignment="1">
      <alignment horizontal="center"/>
    </xf>
    <xf numFmtId="1" fontId="4" fillId="0" borderId="0" xfId="1" applyNumberFormat="1" applyFont="1" applyBorder="1" applyAlignment="1">
      <alignment horizontal="left"/>
    </xf>
    <xf numFmtId="0" fontId="3" fillId="17" borderId="13" xfId="1" applyNumberFormat="1" applyFont="1" applyFill="1" applyBorder="1" applyAlignment="1">
      <alignment horizontal="center"/>
    </xf>
    <xf numFmtId="1" fontId="3" fillId="17" borderId="13" xfId="1" applyNumberFormat="1" applyFont="1" applyFill="1" applyBorder="1" applyAlignment="1">
      <alignment horizontal="center" wrapText="1"/>
    </xf>
    <xf numFmtId="3" fontId="2" fillId="0" borderId="15" xfId="1" applyNumberFormat="1" applyFont="1" applyBorder="1" applyAlignment="1">
      <alignment horizontal="left"/>
    </xf>
    <xf numFmtId="1" fontId="3" fillId="6" borderId="16" xfId="2" applyNumberFormat="1" applyFont="1" applyFill="1" applyBorder="1" applyAlignment="1">
      <alignment horizontal="center"/>
    </xf>
    <xf numFmtId="3" fontId="3" fillId="17" borderId="16" xfId="1" applyNumberFormat="1" applyFont="1" applyFill="1" applyBorder="1" applyAlignment="1">
      <alignment horizontal="center"/>
    </xf>
    <xf numFmtId="3" fontId="2" fillId="0" borderId="0" xfId="1" applyNumberFormat="1" applyFont="1" applyBorder="1" applyAlignment="1">
      <alignment horizontal="left"/>
    </xf>
    <xf numFmtId="3" fontId="2" fillId="0" borderId="0" xfId="1" applyNumberFormat="1" applyFont="1" applyBorder="1" applyAlignment="1">
      <alignment horizontal="center"/>
    </xf>
    <xf numFmtId="3" fontId="39" fillId="0" borderId="6" xfId="1" applyNumberFormat="1" applyFont="1" applyBorder="1" applyAlignment="1">
      <alignment horizontal="left"/>
    </xf>
    <xf numFmtId="3" fontId="2" fillId="0" borderId="6" xfId="1" applyNumberFormat="1" applyFont="1" applyBorder="1" applyAlignment="1">
      <alignment horizontal="center"/>
    </xf>
    <xf numFmtId="2" fontId="3" fillId="6" borderId="11" xfId="2" applyNumberFormat="1" applyFont="1" applyFill="1" applyBorder="1" applyAlignment="1">
      <alignment horizontal="center"/>
    </xf>
    <xf numFmtId="3" fontId="39" fillId="0" borderId="0" xfId="1" applyNumberFormat="1" applyFont="1" applyFill="1" applyBorder="1" applyAlignment="1">
      <alignment horizontal="left"/>
    </xf>
    <xf numFmtId="3" fontId="3" fillId="0" borderId="0" xfId="1" applyNumberFormat="1" applyFont="1" applyFill="1" applyBorder="1" applyAlignment="1">
      <alignment horizontal="left"/>
    </xf>
    <xf numFmtId="3" fontId="40" fillId="35" borderId="0" xfId="17" applyNumberFormat="1" applyFont="1" applyBorder="1" applyAlignment="1">
      <alignment horizontal="left"/>
    </xf>
    <xf numFmtId="2" fontId="3" fillId="0" borderId="0" xfId="2" applyNumberFormat="1" applyFont="1" applyFill="1" applyBorder="1" applyAlignment="1">
      <alignment horizontal="center"/>
    </xf>
    <xf numFmtId="165" fontId="3" fillId="0" borderId="0" xfId="3" applyNumberFormat="1" applyFont="1" applyFill="1" applyBorder="1" applyAlignment="1">
      <alignment horizontal="center"/>
    </xf>
    <xf numFmtId="3" fontId="3" fillId="0" borderId="0" xfId="1" applyNumberFormat="1" applyFont="1" applyBorder="1" applyAlignment="1">
      <alignment horizontal="left"/>
    </xf>
    <xf numFmtId="3" fontId="3" fillId="0" borderId="0" xfId="1" applyNumberFormat="1" applyFont="1" applyBorder="1" applyAlignment="1">
      <alignment horizontal="right"/>
    </xf>
    <xf numFmtId="3" fontId="3" fillId="6" borderId="12" xfId="1" applyNumberFormat="1" applyFont="1" applyFill="1" applyBorder="1" applyAlignment="1">
      <alignment horizontal="right"/>
    </xf>
    <xf numFmtId="3" fontId="41" fillId="17" borderId="5" xfId="4" applyNumberFormat="1" applyFont="1" applyFill="1" applyBorder="1" applyAlignment="1">
      <alignment horizontal="right"/>
    </xf>
    <xf numFmtId="3" fontId="41" fillId="17" borderId="6" xfId="4" applyNumberFormat="1" applyFont="1" applyFill="1" applyBorder="1" applyAlignment="1">
      <alignment horizontal="right"/>
    </xf>
    <xf numFmtId="3" fontId="41" fillId="17" borderId="17" xfId="4" applyNumberFormat="1" applyFont="1" applyFill="1" applyBorder="1" applyAlignment="1">
      <alignment horizontal="right"/>
    </xf>
    <xf numFmtId="9" fontId="3" fillId="6" borderId="13" xfId="3" applyFont="1" applyFill="1" applyBorder="1" applyAlignment="1">
      <alignment horizontal="right"/>
    </xf>
    <xf numFmtId="165" fontId="39" fillId="8" borderId="7" xfId="3" applyNumberFormat="1" applyFont="1" applyFill="1" applyBorder="1" applyAlignment="1">
      <alignment horizontal="right"/>
    </xf>
    <xf numFmtId="165" fontId="39" fillId="8" borderId="0" xfId="3" applyNumberFormat="1" applyFont="1" applyFill="1" applyBorder="1" applyAlignment="1">
      <alignment horizontal="right"/>
    </xf>
    <xf numFmtId="165" fontId="39" fillId="8" borderId="18" xfId="3" applyNumberFormat="1" applyFont="1" applyFill="1" applyBorder="1" applyAlignment="1">
      <alignment horizontal="right"/>
    </xf>
    <xf numFmtId="3" fontId="3" fillId="6" borderId="13" xfId="1" applyNumberFormat="1" applyFont="1" applyFill="1" applyBorder="1" applyAlignment="1">
      <alignment horizontal="right"/>
    </xf>
    <xf numFmtId="3" fontId="41" fillId="17" borderId="7" xfId="1" applyNumberFormat="1" applyFont="1" applyFill="1" applyBorder="1" applyAlignment="1">
      <alignment horizontal="right"/>
    </xf>
    <xf numFmtId="3" fontId="41" fillId="17" borderId="0" xfId="1" applyNumberFormat="1" applyFont="1" applyFill="1" applyBorder="1" applyAlignment="1">
      <alignment horizontal="right"/>
    </xf>
    <xf numFmtId="3" fontId="41" fillId="17" borderId="18" xfId="1" applyNumberFormat="1" applyFont="1" applyFill="1" applyBorder="1" applyAlignment="1">
      <alignment horizontal="right"/>
    </xf>
    <xf numFmtId="3" fontId="41" fillId="17" borderId="7" xfId="4" applyNumberFormat="1" applyFont="1" applyFill="1" applyBorder="1" applyAlignment="1">
      <alignment horizontal="right"/>
    </xf>
    <xf numFmtId="3" fontId="41" fillId="17" borderId="0" xfId="4" applyNumberFormat="1" applyFont="1" applyFill="1" applyBorder="1" applyAlignment="1">
      <alignment horizontal="right"/>
    </xf>
    <xf numFmtId="3" fontId="41" fillId="17" borderId="18" xfId="4" applyNumberFormat="1" applyFont="1" applyFill="1" applyBorder="1" applyAlignment="1">
      <alignment horizontal="right"/>
    </xf>
    <xf numFmtId="165" fontId="3" fillId="6" borderId="13" xfId="3" applyNumberFormat="1" applyFont="1" applyFill="1" applyBorder="1" applyAlignment="1">
      <alignment horizontal="right"/>
    </xf>
    <xf numFmtId="165" fontId="3" fillId="17" borderId="7" xfId="3" applyNumberFormat="1" applyFont="1" applyFill="1" applyBorder="1" applyAlignment="1">
      <alignment horizontal="right"/>
    </xf>
    <xf numFmtId="165" fontId="3" fillId="17" borderId="0" xfId="3" applyNumberFormat="1" applyFont="1" applyFill="1" applyBorder="1" applyAlignment="1">
      <alignment horizontal="right"/>
    </xf>
    <xf numFmtId="165" fontId="3" fillId="17" borderId="18" xfId="3" applyNumberFormat="1" applyFont="1" applyFill="1" applyBorder="1" applyAlignment="1">
      <alignment horizontal="right"/>
    </xf>
    <xf numFmtId="3" fontId="3" fillId="0" borderId="15" xfId="1" applyNumberFormat="1" applyFont="1" applyBorder="1" applyAlignment="1">
      <alignment horizontal="left"/>
    </xf>
    <xf numFmtId="3" fontId="3" fillId="0" borderId="15" xfId="1" applyNumberFormat="1" applyFont="1" applyBorder="1" applyAlignment="1">
      <alignment horizontal="right"/>
    </xf>
    <xf numFmtId="165" fontId="3" fillId="6" borderId="16" xfId="3" applyNumberFormat="1" applyFont="1" applyFill="1" applyBorder="1" applyAlignment="1">
      <alignment horizontal="right"/>
    </xf>
    <xf numFmtId="165" fontId="3" fillId="17" borderId="14" xfId="3" applyNumberFormat="1" applyFont="1" applyFill="1" applyBorder="1" applyAlignment="1">
      <alignment horizontal="right"/>
    </xf>
    <xf numFmtId="165" fontId="3" fillId="17" borderId="15" xfId="3" applyNumberFormat="1" applyFont="1" applyFill="1" applyBorder="1" applyAlignment="1">
      <alignment horizontal="right"/>
    </xf>
    <xf numFmtId="165" fontId="3" fillId="17" borderId="19" xfId="3" applyNumberFormat="1" applyFont="1" applyFill="1" applyBorder="1" applyAlignment="1">
      <alignment horizontal="right"/>
    </xf>
    <xf numFmtId="3" fontId="41" fillId="4" borderId="8" xfId="1" applyNumberFormat="1" applyFont="1" applyFill="1" applyBorder="1" applyAlignment="1">
      <alignment horizontal="left"/>
    </xf>
    <xf numFmtId="165" fontId="3" fillId="6" borderId="12" xfId="3" applyNumberFormat="1" applyFont="1" applyFill="1" applyBorder="1" applyAlignment="1">
      <alignment horizontal="right"/>
    </xf>
    <xf numFmtId="165" fontId="1" fillId="8" borderId="5" xfId="3" applyNumberFormat="1" applyFont="1" applyFill="1" applyBorder="1" applyAlignment="1">
      <alignment horizontal="right"/>
    </xf>
    <xf numFmtId="165" fontId="1" fillId="8" borderId="6" xfId="3" applyNumberFormat="1" applyFont="1" applyFill="1" applyBorder="1" applyAlignment="1">
      <alignment horizontal="right"/>
    </xf>
    <xf numFmtId="165" fontId="1" fillId="8" borderId="17" xfId="3" applyNumberFormat="1" applyFont="1" applyFill="1" applyBorder="1" applyAlignment="1">
      <alignment horizontal="right"/>
    </xf>
    <xf numFmtId="165" fontId="1" fillId="8" borderId="7" xfId="3" applyNumberFormat="1" applyFont="1" applyFill="1" applyBorder="1" applyAlignment="1">
      <alignment horizontal="right"/>
    </xf>
    <xf numFmtId="165" fontId="1" fillId="8" borderId="0" xfId="3" applyNumberFormat="1" applyFont="1" applyFill="1" applyBorder="1" applyAlignment="1">
      <alignment horizontal="right"/>
    </xf>
    <xf numFmtId="165" fontId="1" fillId="8" borderId="18" xfId="3" applyNumberFormat="1" applyFont="1" applyFill="1" applyBorder="1" applyAlignment="1">
      <alignment horizontal="right"/>
    </xf>
    <xf numFmtId="165" fontId="40" fillId="35" borderId="13" xfId="17" applyNumberFormat="1" applyFont="1" applyBorder="1" applyAlignment="1">
      <alignment horizontal="right"/>
    </xf>
    <xf numFmtId="165" fontId="1" fillId="8" borderId="14" xfId="3" applyNumberFormat="1" applyFont="1" applyFill="1" applyBorder="1" applyAlignment="1">
      <alignment horizontal="right"/>
    </xf>
    <xf numFmtId="165" fontId="1" fillId="8" borderId="15" xfId="3" applyNumberFormat="1" applyFont="1" applyFill="1" applyBorder="1" applyAlignment="1">
      <alignment horizontal="right"/>
    </xf>
    <xf numFmtId="165" fontId="1" fillId="8" borderId="19" xfId="3" applyNumberFormat="1" applyFont="1" applyFill="1" applyBorder="1" applyAlignment="1">
      <alignment horizontal="right"/>
    </xf>
    <xf numFmtId="3" fontId="42" fillId="0" borderId="0" xfId="1" applyNumberFormat="1" applyFont="1" applyBorder="1" applyAlignment="1">
      <alignment horizontal="left"/>
    </xf>
    <xf numFmtId="3" fontId="2" fillId="0" borderId="0" xfId="1" applyNumberFormat="1" applyFont="1" applyFill="1" applyBorder="1" applyAlignment="1">
      <alignment horizontal="right"/>
    </xf>
    <xf numFmtId="3" fontId="39" fillId="26" borderId="5" xfId="1" applyNumberFormat="1" applyFont="1" applyFill="1" applyBorder="1" applyAlignment="1">
      <alignment horizontal="right"/>
    </xf>
    <xf numFmtId="3" fontId="39" fillId="26" borderId="6" xfId="1" applyNumberFormat="1" applyFont="1" applyFill="1" applyBorder="1" applyAlignment="1">
      <alignment horizontal="right"/>
    </xf>
    <xf numFmtId="3" fontId="39" fillId="26" borderId="17" xfId="1" applyNumberFormat="1" applyFont="1" applyFill="1" applyBorder="1" applyAlignment="1">
      <alignment horizontal="right"/>
    </xf>
    <xf numFmtId="3" fontId="3" fillId="9" borderId="5" xfId="1" applyNumberFormat="1" applyFont="1" applyFill="1" applyBorder="1" applyAlignment="1">
      <alignment horizontal="left"/>
    </xf>
    <xf numFmtId="3" fontId="2" fillId="9" borderId="6" xfId="1" applyNumberFormat="1" applyFont="1" applyFill="1" applyBorder="1" applyAlignment="1">
      <alignment horizontal="left"/>
    </xf>
    <xf numFmtId="3" fontId="2" fillId="9" borderId="17" xfId="1" applyNumberFormat="1" applyFont="1" applyFill="1" applyBorder="1" applyAlignment="1">
      <alignment horizontal="left"/>
    </xf>
    <xf numFmtId="3" fontId="39" fillId="28" borderId="7" xfId="4" applyNumberFormat="1" applyFont="1" applyFill="1" applyBorder="1" applyAlignment="1">
      <alignment horizontal="right"/>
    </xf>
    <xf numFmtId="3" fontId="39" fillId="28" borderId="0" xfId="4" applyNumberFormat="1" applyFont="1" applyFill="1" applyBorder="1" applyAlignment="1">
      <alignment horizontal="right"/>
    </xf>
    <xf numFmtId="3" fontId="39" fillId="28" borderId="18" xfId="4" applyNumberFormat="1" applyFont="1" applyFill="1" applyBorder="1" applyAlignment="1">
      <alignment horizontal="right"/>
    </xf>
    <xf numFmtId="3" fontId="2" fillId="9" borderId="7" xfId="1" applyNumberFormat="1" applyFont="1" applyFill="1" applyBorder="1" applyAlignment="1">
      <alignment horizontal="left"/>
    </xf>
    <xf numFmtId="3" fontId="2" fillId="9" borderId="0" xfId="1" applyNumberFormat="1" applyFont="1" applyFill="1" applyBorder="1" applyAlignment="1">
      <alignment horizontal="left"/>
    </xf>
    <xf numFmtId="3" fontId="2" fillId="9" borderId="18" xfId="1" applyNumberFormat="1" applyFont="1" applyFill="1" applyBorder="1" applyAlignment="1">
      <alignment horizontal="left"/>
    </xf>
    <xf numFmtId="3" fontId="4" fillId="17" borderId="7" xfId="4" applyNumberFormat="1" applyFont="1" applyFill="1" applyBorder="1" applyAlignment="1">
      <alignment horizontal="right"/>
    </xf>
    <xf numFmtId="3" fontId="4" fillId="17" borderId="0" xfId="4" applyNumberFormat="1" applyFont="1" applyFill="1" applyBorder="1" applyAlignment="1">
      <alignment horizontal="right"/>
    </xf>
    <xf numFmtId="3" fontId="4" fillId="17" borderId="18" xfId="4" applyNumberFormat="1" applyFont="1" applyFill="1" applyBorder="1" applyAlignment="1">
      <alignment horizontal="right"/>
    </xf>
    <xf numFmtId="3" fontId="2" fillId="17" borderId="7" xfId="1" applyNumberFormat="1" applyFont="1" applyFill="1" applyBorder="1" applyAlignment="1">
      <alignment horizontal="right"/>
    </xf>
    <xf numFmtId="3" fontId="2" fillId="17" borderId="0" xfId="1" applyNumberFormat="1" applyFont="1" applyFill="1" applyBorder="1" applyAlignment="1">
      <alignment horizontal="right"/>
    </xf>
    <xf numFmtId="3" fontId="2" fillId="17" borderId="18" xfId="1" applyNumberFormat="1" applyFont="1" applyFill="1" applyBorder="1" applyAlignment="1">
      <alignment horizontal="right"/>
    </xf>
    <xf numFmtId="3" fontId="2" fillId="9" borderId="14" xfId="1" applyNumberFormat="1" applyFont="1" applyFill="1" applyBorder="1" applyAlignment="1">
      <alignment horizontal="left"/>
    </xf>
    <xf numFmtId="3" fontId="2" fillId="9" borderId="15" xfId="1" applyNumberFormat="1" applyFont="1" applyFill="1" applyBorder="1" applyAlignment="1">
      <alignment horizontal="left"/>
    </xf>
    <xf numFmtId="3" fontId="2" fillId="9" borderId="19" xfId="1" applyNumberFormat="1" applyFont="1" applyFill="1" applyBorder="1" applyAlignment="1">
      <alignment horizontal="left"/>
    </xf>
    <xf numFmtId="3" fontId="3" fillId="6" borderId="16" xfId="1" applyNumberFormat="1" applyFont="1" applyFill="1" applyBorder="1" applyAlignment="1">
      <alignment horizontal="right"/>
    </xf>
    <xf numFmtId="3" fontId="2" fillId="17" borderId="14" xfId="1" applyNumberFormat="1" applyFont="1" applyFill="1" applyBorder="1" applyAlignment="1">
      <alignment horizontal="right"/>
    </xf>
    <xf numFmtId="3" fontId="2" fillId="17" borderId="15" xfId="1" applyNumberFormat="1" applyFont="1" applyFill="1" applyBorder="1" applyAlignment="1">
      <alignment horizontal="right"/>
    </xf>
    <xf numFmtId="3" fontId="2" fillId="17" borderId="19" xfId="1" applyNumberFormat="1" applyFont="1" applyFill="1" applyBorder="1" applyAlignment="1">
      <alignment horizontal="right"/>
    </xf>
    <xf numFmtId="3" fontId="2" fillId="0" borderId="0" xfId="1" applyNumberFormat="1" applyFont="1" applyFill="1" applyBorder="1" applyAlignment="1">
      <alignment horizontal="left"/>
    </xf>
    <xf numFmtId="3" fontId="39" fillId="28" borderId="5" xfId="1" applyNumberFormat="1" applyFont="1" applyFill="1" applyBorder="1" applyAlignment="1">
      <alignment horizontal="right"/>
    </xf>
    <xf numFmtId="3" fontId="39" fillId="28" borderId="6" xfId="1" applyNumberFormat="1" applyFont="1" applyFill="1" applyBorder="1" applyAlignment="1">
      <alignment horizontal="right"/>
    </xf>
    <xf numFmtId="3" fontId="39" fillId="28" borderId="17" xfId="1" applyNumberFormat="1" applyFont="1" applyFill="1" applyBorder="1" applyAlignment="1">
      <alignment horizontal="right"/>
    </xf>
    <xf numFmtId="3" fontId="39" fillId="17" borderId="5" xfId="1" applyNumberFormat="1" applyFont="1" applyFill="1" applyBorder="1" applyAlignment="1">
      <alignment horizontal="right"/>
    </xf>
    <xf numFmtId="3" fontId="39" fillId="17" borderId="6" xfId="1" applyNumberFormat="1" applyFont="1" applyFill="1" applyBorder="1" applyAlignment="1">
      <alignment horizontal="right"/>
    </xf>
    <xf numFmtId="3" fontId="39" fillId="17" borderId="17" xfId="1" applyNumberFormat="1" applyFont="1" applyFill="1" applyBorder="1" applyAlignment="1">
      <alignment horizontal="right"/>
    </xf>
    <xf numFmtId="3" fontId="39" fillId="17" borderId="7" xfId="1" applyNumberFormat="1" applyFont="1" applyFill="1" applyBorder="1" applyAlignment="1">
      <alignment horizontal="right"/>
    </xf>
    <xf numFmtId="3" fontId="2" fillId="9" borderId="18" xfId="1" applyNumberFormat="1" applyFont="1" applyFill="1" applyBorder="1" applyAlignment="1">
      <alignment horizontal="left" wrapText="1"/>
    </xf>
    <xf numFmtId="3" fontId="41" fillId="26" borderId="5" xfId="1" applyNumberFormat="1" applyFont="1" applyFill="1" applyBorder="1" applyAlignment="1">
      <alignment horizontal="right"/>
    </xf>
    <xf numFmtId="3" fontId="41" fillId="26" borderId="6" xfId="1" applyNumberFormat="1" applyFont="1" applyFill="1" applyBorder="1" applyAlignment="1">
      <alignment horizontal="right"/>
    </xf>
    <xf numFmtId="3" fontId="41" fillId="26" borderId="17" xfId="1" applyNumberFormat="1" applyFont="1" applyFill="1" applyBorder="1" applyAlignment="1">
      <alignment horizontal="right"/>
    </xf>
    <xf numFmtId="3" fontId="1" fillId="17" borderId="7" xfId="1" applyNumberFormat="1" applyFont="1" applyFill="1" applyBorder="1" applyAlignment="1">
      <alignment horizontal="right"/>
    </xf>
    <xf numFmtId="3" fontId="1" fillId="17" borderId="0" xfId="1" applyNumberFormat="1" applyFont="1" applyFill="1" applyBorder="1" applyAlignment="1">
      <alignment horizontal="right"/>
    </xf>
    <xf numFmtId="3" fontId="1" fillId="17" borderId="18" xfId="1" applyNumberFormat="1" applyFont="1" applyFill="1" applyBorder="1" applyAlignment="1">
      <alignment horizontal="right"/>
    </xf>
    <xf numFmtId="3" fontId="3" fillId="9" borderId="14" xfId="1" applyNumberFormat="1" applyFont="1" applyFill="1" applyBorder="1" applyAlignment="1">
      <alignment horizontal="left"/>
    </xf>
    <xf numFmtId="3" fontId="1" fillId="17" borderId="14" xfId="1" applyNumberFormat="1" applyFont="1" applyFill="1" applyBorder="1" applyAlignment="1">
      <alignment horizontal="right"/>
    </xf>
    <xf numFmtId="3" fontId="1" fillId="17" borderId="15" xfId="1" applyNumberFormat="1" applyFont="1" applyFill="1" applyBorder="1" applyAlignment="1">
      <alignment horizontal="right"/>
    </xf>
    <xf numFmtId="3" fontId="1" fillId="17" borderId="19" xfId="1" applyNumberFormat="1" applyFont="1" applyFill="1" applyBorder="1" applyAlignment="1">
      <alignment horizontal="right"/>
    </xf>
    <xf numFmtId="3" fontId="43" fillId="0" borderId="0" xfId="1" applyNumberFormat="1" applyFont="1" applyBorder="1" applyAlignment="1">
      <alignment horizontal="left"/>
    </xf>
    <xf numFmtId="3" fontId="2" fillId="9" borderId="5" xfId="1" applyNumberFormat="1" applyFont="1" applyFill="1" applyBorder="1" applyAlignment="1">
      <alignment horizontal="left"/>
    </xf>
    <xf numFmtId="3" fontId="39" fillId="17" borderId="0" xfId="1" applyNumberFormat="1" applyFont="1" applyFill="1" applyBorder="1" applyAlignment="1">
      <alignment horizontal="right"/>
    </xf>
    <xf numFmtId="3" fontId="39" fillId="17" borderId="18" xfId="1" applyNumberFormat="1" applyFont="1" applyFill="1" applyBorder="1" applyAlignment="1">
      <alignment horizontal="right"/>
    </xf>
    <xf numFmtId="3" fontId="2" fillId="17" borderId="14" xfId="4" applyNumberFormat="1" applyFont="1" applyFill="1" applyBorder="1" applyAlignment="1">
      <alignment horizontal="right"/>
    </xf>
    <xf numFmtId="3" fontId="2" fillId="17" borderId="15" xfId="4" applyNumberFormat="1" applyFont="1" applyFill="1" applyBorder="1" applyAlignment="1">
      <alignment horizontal="right"/>
    </xf>
    <xf numFmtId="3" fontId="2" fillId="17" borderId="19" xfId="4" applyNumberFormat="1" applyFont="1" applyFill="1" applyBorder="1" applyAlignment="1">
      <alignment horizontal="right"/>
    </xf>
    <xf numFmtId="3" fontId="3" fillId="6" borderId="11" xfId="1" applyNumberFormat="1" applyFont="1" applyFill="1" applyBorder="1" applyAlignment="1">
      <alignment horizontal="right"/>
    </xf>
    <xf numFmtId="3" fontId="41" fillId="26" borderId="8" xfId="1" applyNumberFormat="1" applyFont="1" applyFill="1" applyBorder="1" applyAlignment="1">
      <alignment horizontal="right"/>
    </xf>
    <xf numFmtId="3" fontId="41" fillId="26" borderId="9" xfId="1" applyNumberFormat="1" applyFont="1" applyFill="1" applyBorder="1" applyAlignment="1">
      <alignment horizontal="right"/>
    </xf>
    <xf numFmtId="3" fontId="41" fillId="26" borderId="10" xfId="1" applyNumberFormat="1" applyFont="1" applyFill="1" applyBorder="1" applyAlignment="1">
      <alignment horizontal="right"/>
    </xf>
    <xf numFmtId="3" fontId="39" fillId="26" borderId="8" xfId="1" applyNumberFormat="1" applyFont="1" applyFill="1" applyBorder="1" applyAlignment="1">
      <alignment horizontal="right"/>
    </xf>
    <xf numFmtId="3" fontId="39" fillId="26" borderId="9" xfId="1" applyNumberFormat="1" applyFont="1" applyFill="1" applyBorder="1" applyAlignment="1">
      <alignment horizontal="right"/>
    </xf>
    <xf numFmtId="3" fontId="39" fillId="26" borderId="10" xfId="1" applyNumberFormat="1" applyFont="1" applyFill="1" applyBorder="1" applyAlignment="1">
      <alignment horizontal="right"/>
    </xf>
    <xf numFmtId="3" fontId="4" fillId="17" borderId="7" xfId="1" applyNumberFormat="1" applyFont="1" applyFill="1" applyBorder="1" applyAlignment="1">
      <alignment horizontal="right"/>
    </xf>
    <xf numFmtId="3" fontId="4" fillId="17" borderId="0" xfId="1" applyNumberFormat="1" applyFont="1" applyFill="1" applyBorder="1" applyAlignment="1">
      <alignment horizontal="right"/>
    </xf>
    <xf numFmtId="3" fontId="4" fillId="17" borderId="18" xfId="1" applyNumberFormat="1" applyFont="1" applyFill="1" applyBorder="1" applyAlignment="1">
      <alignment horizontal="right"/>
    </xf>
    <xf numFmtId="3" fontId="2" fillId="0" borderId="0" xfId="1" applyNumberFormat="1" applyFont="1" applyFill="1" applyBorder="1" applyAlignment="1"/>
    <xf numFmtId="3" fontId="2" fillId="0" borderId="15" xfId="1" applyNumberFormat="1" applyFont="1" applyBorder="1" applyAlignment="1">
      <alignment horizontal="right"/>
    </xf>
    <xf numFmtId="3" fontId="43" fillId="0" borderId="15" xfId="1" applyNumberFormat="1" applyFont="1" applyBorder="1" applyAlignment="1">
      <alignment horizontal="left"/>
    </xf>
    <xf numFmtId="3" fontId="3" fillId="0" borderId="6" xfId="1" applyNumberFormat="1" applyFont="1" applyBorder="1" applyAlignment="1">
      <alignment horizontal="left"/>
    </xf>
    <xf numFmtId="3" fontId="43" fillId="0" borderId="6" xfId="1" applyNumberFormat="1" applyFont="1" applyBorder="1" applyAlignment="1">
      <alignment horizontal="left"/>
    </xf>
    <xf numFmtId="3" fontId="3" fillId="26" borderId="5" xfId="1" applyNumberFormat="1" applyFont="1" applyFill="1" applyBorder="1" applyAlignment="1">
      <alignment horizontal="right"/>
    </xf>
    <xf numFmtId="3" fontId="3" fillId="26" borderId="12" xfId="1" applyNumberFormat="1" applyFont="1" applyFill="1" applyBorder="1" applyAlignment="1">
      <alignment horizontal="right"/>
    </xf>
    <xf numFmtId="165" fontId="1" fillId="10" borderId="8" xfId="3" applyNumberFormat="1" applyFont="1" applyFill="1" applyBorder="1" applyAlignment="1">
      <alignment horizontal="right"/>
    </xf>
    <xf numFmtId="165" fontId="1" fillId="10" borderId="9" xfId="3" applyNumberFormat="1" applyFont="1" applyFill="1" applyBorder="1" applyAlignment="1">
      <alignment horizontal="right"/>
    </xf>
    <xf numFmtId="3" fontId="43" fillId="0" borderId="0" xfId="1" applyNumberFormat="1" applyFont="1" applyFill="1" applyBorder="1" applyAlignment="1">
      <alignment horizontal="left"/>
    </xf>
    <xf numFmtId="3" fontId="2" fillId="11" borderId="5" xfId="1" applyNumberFormat="1" applyFont="1" applyFill="1" applyBorder="1" applyAlignment="1">
      <alignment horizontal="left"/>
    </xf>
    <xf numFmtId="3" fontId="2" fillId="11" borderId="5" xfId="1" applyNumberFormat="1" applyFont="1" applyFill="1" applyBorder="1" applyAlignment="1">
      <alignment horizontal="left" wrapText="1"/>
    </xf>
    <xf numFmtId="3" fontId="2" fillId="17" borderId="5" xfId="1" applyNumberFormat="1" applyFont="1" applyFill="1" applyBorder="1" applyAlignment="1">
      <alignment horizontal="right"/>
    </xf>
    <xf numFmtId="3" fontId="2" fillId="17" borderId="6" xfId="1" applyNumberFormat="1" applyFont="1" applyFill="1" applyBorder="1" applyAlignment="1">
      <alignment horizontal="right"/>
    </xf>
    <xf numFmtId="3" fontId="2" fillId="17" borderId="17" xfId="1" applyNumberFormat="1" applyFont="1" applyFill="1" applyBorder="1" applyAlignment="1">
      <alignment horizontal="right"/>
    </xf>
    <xf numFmtId="3" fontId="2" fillId="11" borderId="7" xfId="1" applyNumberFormat="1" applyFont="1" applyFill="1" applyBorder="1" applyAlignment="1">
      <alignment horizontal="left"/>
    </xf>
    <xf numFmtId="3" fontId="2" fillId="11" borderId="7" xfId="1" applyNumberFormat="1" applyFont="1" applyFill="1" applyBorder="1" applyAlignment="1">
      <alignment horizontal="left" wrapText="1"/>
    </xf>
    <xf numFmtId="3" fontId="1" fillId="11" borderId="7" xfId="1" applyNumberFormat="1" applyFont="1" applyFill="1" applyBorder="1" applyAlignment="1">
      <alignment horizontal="left"/>
    </xf>
    <xf numFmtId="3" fontId="1" fillId="11" borderId="7" xfId="1" applyNumberFormat="1" applyFont="1" applyFill="1" applyBorder="1" applyAlignment="1">
      <alignment horizontal="left" wrapText="1"/>
    </xf>
    <xf numFmtId="3" fontId="1" fillId="11" borderId="0" xfId="1" applyNumberFormat="1" applyFont="1" applyFill="1" applyBorder="1" applyAlignment="1">
      <alignment horizontal="left" wrapText="1"/>
    </xf>
    <xf numFmtId="3" fontId="1" fillId="11" borderId="14" xfId="1" applyNumberFormat="1" applyFont="1" applyFill="1" applyBorder="1" applyAlignment="1">
      <alignment horizontal="left"/>
    </xf>
    <xf numFmtId="3" fontId="1" fillId="11" borderId="15" xfId="1" applyNumberFormat="1" applyFont="1" applyFill="1" applyBorder="1" applyAlignment="1">
      <alignment horizontal="left" wrapText="1"/>
    </xf>
    <xf numFmtId="3" fontId="4" fillId="17" borderId="5" xfId="1" applyNumberFormat="1" applyFont="1" applyFill="1" applyBorder="1" applyAlignment="1">
      <alignment horizontal="right"/>
    </xf>
    <xf numFmtId="3" fontId="4" fillId="17" borderId="6" xfId="1" applyNumberFormat="1" applyFont="1" applyFill="1" applyBorder="1" applyAlignment="1">
      <alignment horizontal="right"/>
    </xf>
    <xf numFmtId="3" fontId="4" fillId="17" borderId="17" xfId="1" applyNumberFormat="1" applyFont="1" applyFill="1" applyBorder="1" applyAlignment="1">
      <alignment horizontal="right"/>
    </xf>
    <xf numFmtId="0" fontId="1" fillId="0" borderId="0" xfId="0" applyFont="1" applyAlignment="1">
      <alignment horizontal="left" vertical="top"/>
    </xf>
    <xf numFmtId="3" fontId="2" fillId="0" borderId="7" xfId="1" applyNumberFormat="1" applyFont="1" applyFill="1" applyBorder="1" applyAlignment="1">
      <alignment horizontal="right"/>
    </xf>
    <xf numFmtId="3" fontId="4" fillId="17" borderId="14" xfId="1" applyNumberFormat="1" applyFont="1" applyFill="1" applyBorder="1" applyAlignment="1">
      <alignment horizontal="right"/>
    </xf>
    <xf numFmtId="3" fontId="4" fillId="17" borderId="15" xfId="1" applyNumberFormat="1" applyFont="1" applyFill="1" applyBorder="1" applyAlignment="1">
      <alignment horizontal="right"/>
    </xf>
    <xf numFmtId="3" fontId="4" fillId="17" borderId="19" xfId="1" applyNumberFormat="1" applyFont="1" applyFill="1" applyBorder="1" applyAlignment="1">
      <alignment horizontal="right"/>
    </xf>
    <xf numFmtId="3" fontId="1" fillId="0" borderId="0" xfId="1" applyNumberFormat="1" applyFont="1" applyFill="1" applyBorder="1" applyAlignment="1">
      <alignment horizontal="left" wrapText="1"/>
    </xf>
    <xf numFmtId="3" fontId="3" fillId="0" borderId="0" xfId="1" applyNumberFormat="1" applyFont="1" applyFill="1" applyBorder="1" applyAlignment="1">
      <alignment horizontal="right"/>
    </xf>
    <xf numFmtId="3" fontId="4" fillId="0" borderId="0" xfId="1" applyNumberFormat="1" applyFont="1" applyFill="1" applyBorder="1" applyAlignment="1">
      <alignment horizontal="right"/>
    </xf>
    <xf numFmtId="3" fontId="44" fillId="0" borderId="0" xfId="1" applyNumberFormat="1" applyFont="1" applyFill="1" applyBorder="1" applyAlignment="1">
      <alignment horizontal="right"/>
    </xf>
    <xf numFmtId="3" fontId="2" fillId="0" borderId="15" xfId="1" applyNumberFormat="1" applyFont="1" applyFill="1" applyBorder="1" applyAlignment="1">
      <alignment horizontal="right"/>
    </xf>
    <xf numFmtId="3" fontId="2" fillId="0" borderId="15" xfId="1" applyNumberFormat="1" applyFont="1" applyFill="1" applyBorder="1" applyAlignment="1">
      <alignment horizontal="left"/>
    </xf>
    <xf numFmtId="3" fontId="43" fillId="0" borderId="15" xfId="1" applyNumberFormat="1" applyFont="1" applyFill="1" applyBorder="1" applyAlignment="1">
      <alignment horizontal="left"/>
    </xf>
    <xf numFmtId="3" fontId="3" fillId="0" borderId="0" xfId="0" applyNumberFormat="1" applyFont="1" applyFill="1" applyBorder="1" applyAlignment="1">
      <alignment horizontal="center"/>
    </xf>
    <xf numFmtId="3" fontId="45" fillId="0" borderId="0" xfId="0" applyNumberFormat="1" applyFont="1" applyFill="1" applyBorder="1" applyAlignment="1">
      <alignment horizontal="right"/>
    </xf>
    <xf numFmtId="3" fontId="2" fillId="0" borderId="0" xfId="1" applyNumberFormat="1" applyFont="1" applyAlignment="1">
      <alignment horizontal="left"/>
    </xf>
    <xf numFmtId="3" fontId="41" fillId="0" borderId="0" xfId="0" applyNumberFormat="1" applyFont="1" applyFill="1" applyBorder="1" applyAlignment="1">
      <alignment horizontal="left"/>
    </xf>
    <xf numFmtId="3" fontId="3" fillId="0" borderId="0" xfId="0" applyNumberFormat="1" applyFont="1" applyFill="1" applyBorder="1" applyAlignment="1">
      <alignment horizontal="left"/>
    </xf>
    <xf numFmtId="165" fontId="3" fillId="0" borderId="0" xfId="3" applyNumberFormat="1" applyFont="1" applyFill="1" applyBorder="1" applyAlignment="1">
      <alignment horizontal="center" wrapText="1"/>
    </xf>
    <xf numFmtId="3" fontId="46" fillId="11" borderId="8" xfId="6" applyNumberFormat="1" applyFont="1" applyFill="1" applyBorder="1" applyAlignment="1">
      <alignment horizontal="left"/>
    </xf>
    <xf numFmtId="3" fontId="43" fillId="11" borderId="9" xfId="6" applyNumberFormat="1" applyFont="1" applyFill="1" applyBorder="1" applyAlignment="1">
      <alignment horizontal="left"/>
    </xf>
    <xf numFmtId="3" fontId="43" fillId="11" borderId="10" xfId="6" applyNumberFormat="1" applyFont="1" applyFill="1" applyBorder="1" applyAlignment="1">
      <alignment horizontal="right"/>
    </xf>
    <xf numFmtId="3" fontId="2" fillId="0" borderId="0" xfId="0" applyNumberFormat="1" applyFont="1" applyBorder="1" applyAlignment="1">
      <alignment horizontal="right"/>
    </xf>
    <xf numFmtId="3" fontId="3" fillId="0" borderId="0" xfId="0" applyNumberFormat="1" applyFont="1" applyBorder="1" applyAlignment="1">
      <alignment horizontal="left"/>
    </xf>
    <xf numFmtId="3" fontId="43" fillId="0" borderId="0" xfId="0" applyNumberFormat="1" applyFont="1" applyBorder="1" applyAlignment="1">
      <alignment horizontal="left"/>
    </xf>
    <xf numFmtId="3" fontId="45" fillId="0" borderId="0" xfId="0" applyNumberFormat="1" applyFont="1" applyBorder="1" applyAlignment="1">
      <alignment horizontal="right"/>
    </xf>
    <xf numFmtId="3" fontId="2" fillId="0" borderId="0" xfId="0" applyNumberFormat="1" applyFont="1" applyBorder="1" applyAlignment="1">
      <alignment horizontal="left"/>
    </xf>
    <xf numFmtId="3" fontId="3" fillId="6" borderId="12" xfId="0" applyNumberFormat="1" applyFont="1" applyFill="1" applyBorder="1" applyAlignment="1">
      <alignment horizontal="right"/>
    </xf>
    <xf numFmtId="3" fontId="2" fillId="9" borderId="5" xfId="0" applyNumberFormat="1" applyFont="1" applyFill="1" applyBorder="1" applyAlignment="1"/>
    <xf numFmtId="3" fontId="2" fillId="9" borderId="6" xfId="0" applyNumberFormat="1" applyFont="1" applyFill="1" applyBorder="1" applyAlignment="1"/>
    <xf numFmtId="3" fontId="3" fillId="6" borderId="13" xfId="0" applyNumberFormat="1" applyFont="1" applyFill="1" applyBorder="1" applyAlignment="1">
      <alignment horizontal="right"/>
    </xf>
    <xf numFmtId="3" fontId="4" fillId="10" borderId="0" xfId="0" applyNumberFormat="1" applyFont="1" applyFill="1" applyBorder="1" applyAlignment="1">
      <alignment horizontal="right"/>
    </xf>
    <xf numFmtId="3" fontId="2" fillId="9" borderId="7" xfId="0" applyNumberFormat="1" applyFont="1" applyFill="1" applyBorder="1" applyAlignment="1"/>
    <xf numFmtId="3" fontId="2" fillId="9" borderId="0" xfId="0" applyNumberFormat="1" applyFont="1" applyFill="1" applyBorder="1" applyAlignment="1"/>
    <xf numFmtId="3" fontId="2" fillId="9" borderId="14" xfId="0" applyNumberFormat="1" applyFont="1" applyFill="1" applyBorder="1" applyAlignment="1"/>
    <xf numFmtId="3" fontId="2" fillId="9" borderId="15" xfId="0" applyNumberFormat="1" applyFont="1" applyFill="1" applyBorder="1" applyAlignment="1"/>
    <xf numFmtId="3" fontId="3" fillId="6" borderId="16" xfId="0" applyNumberFormat="1" applyFont="1" applyFill="1" applyBorder="1" applyAlignment="1">
      <alignment horizontal="right"/>
    </xf>
    <xf numFmtId="3" fontId="2" fillId="0" borderId="0" xfId="0" applyNumberFormat="1" applyFont="1" applyAlignment="1">
      <alignment horizontal="left"/>
    </xf>
    <xf numFmtId="3" fontId="2" fillId="0" borderId="0" xfId="0" applyNumberFormat="1" applyFont="1" applyAlignment="1">
      <alignment horizontal="right"/>
    </xf>
    <xf numFmtId="3" fontId="1" fillId="0" borderId="0" xfId="0" applyNumberFormat="1" applyFont="1" applyAlignment="1">
      <alignment horizontal="right"/>
    </xf>
    <xf numFmtId="3" fontId="2" fillId="9" borderId="5" xfId="0" applyNumberFormat="1" applyFont="1" applyFill="1" applyBorder="1" applyAlignment="1">
      <alignment horizontal="left"/>
    </xf>
    <xf numFmtId="3" fontId="2" fillId="9" borderId="6" xfId="0" applyNumberFormat="1" applyFont="1" applyFill="1" applyBorder="1" applyAlignment="1">
      <alignment horizontal="left"/>
    </xf>
    <xf numFmtId="3" fontId="2" fillId="9" borderId="7" xfId="0" applyNumberFormat="1" applyFont="1" applyFill="1" applyBorder="1" applyAlignment="1">
      <alignment horizontal="left"/>
    </xf>
    <xf numFmtId="3" fontId="2" fillId="9" borderId="0" xfId="0" applyNumberFormat="1" applyFont="1" applyFill="1" applyBorder="1" applyAlignment="1">
      <alignment horizontal="left"/>
    </xf>
    <xf numFmtId="3" fontId="2" fillId="9" borderId="14" xfId="0" applyNumberFormat="1" applyFont="1" applyFill="1" applyBorder="1" applyAlignment="1">
      <alignment horizontal="left"/>
    </xf>
    <xf numFmtId="3" fontId="2" fillId="9" borderId="15" xfId="0" applyNumberFormat="1" applyFont="1" applyFill="1" applyBorder="1" applyAlignment="1">
      <alignment horizontal="left"/>
    </xf>
    <xf numFmtId="3" fontId="45" fillId="10" borderId="0" xfId="0" applyNumberFormat="1" applyFont="1" applyFill="1" applyBorder="1" applyAlignment="1">
      <alignment horizontal="right"/>
    </xf>
    <xf numFmtId="3" fontId="2" fillId="10" borderId="0" xfId="0" applyNumberFormat="1" applyFont="1" applyFill="1" applyBorder="1" applyAlignment="1">
      <alignment horizontal="right"/>
    </xf>
    <xf numFmtId="3" fontId="2" fillId="11" borderId="7" xfId="1" applyNumberFormat="1" applyFont="1" applyFill="1" applyBorder="1" applyAlignment="1">
      <alignment horizontal="left" wrapText="1"/>
    </xf>
    <xf numFmtId="0" fontId="2" fillId="25" borderId="8" xfId="1" applyFont="1" applyFill="1" applyBorder="1" applyAlignment="1">
      <alignment horizontal="left" vertical="center" wrapText="1"/>
    </xf>
    <xf numFmtId="0" fontId="2" fillId="25" borderId="9" xfId="1" applyFont="1" applyFill="1" applyBorder="1" applyAlignment="1">
      <alignment horizontal="left" vertical="center" wrapText="1"/>
    </xf>
    <xf numFmtId="0" fontId="2" fillId="25" borderId="10" xfId="1" applyFont="1" applyFill="1" applyBorder="1" applyAlignment="1">
      <alignment horizontal="left" vertical="center" wrapText="1"/>
    </xf>
    <xf numFmtId="0" fontId="3" fillId="25" borderId="8" xfId="1" applyFont="1" applyFill="1" applyBorder="1" applyAlignment="1">
      <alignment horizontal="center" wrapText="1"/>
    </xf>
    <xf numFmtId="0" fontId="3" fillId="25" borderId="9" xfId="1" applyFont="1" applyFill="1" applyBorder="1" applyAlignment="1">
      <alignment horizontal="center" wrapText="1"/>
    </xf>
    <xf numFmtId="0" fontId="3" fillId="25" borderId="10" xfId="1" applyFont="1" applyFill="1" applyBorder="1" applyAlignment="1">
      <alignment horizontal="center" wrapText="1"/>
    </xf>
    <xf numFmtId="0" fontId="38" fillId="0" borderId="15" xfId="1" applyFont="1" applyBorder="1" applyAlignment="1"/>
    <xf numFmtId="0" fontId="0" fillId="0" borderId="15" xfId="0" applyBorder="1" applyAlignment="1"/>
    <xf numFmtId="3" fontId="41" fillId="4" borderId="8" xfId="0" applyNumberFormat="1" applyFont="1" applyFill="1" applyBorder="1" applyAlignment="1">
      <alignment horizontal="left" wrapText="1"/>
    </xf>
    <xf numFmtId="3" fontId="41" fillId="4" borderId="9" xfId="0" applyNumberFormat="1" applyFont="1" applyFill="1" applyBorder="1" applyAlignment="1">
      <alignment horizontal="left" wrapText="1"/>
    </xf>
    <xf numFmtId="3" fontId="41" fillId="4" borderId="10" xfId="0" applyNumberFormat="1" applyFont="1" applyFill="1" applyBorder="1" applyAlignment="1">
      <alignment horizontal="left" wrapText="1"/>
    </xf>
    <xf numFmtId="3" fontId="2" fillId="11" borderId="7" xfId="1" applyNumberFormat="1" applyFont="1" applyFill="1" applyBorder="1" applyAlignment="1">
      <alignment horizontal="left" vertical="top"/>
    </xf>
    <xf numFmtId="0" fontId="1" fillId="0" borderId="0" xfId="0" applyFont="1" applyBorder="1" applyAlignment="1">
      <alignment horizontal="left" vertical="top"/>
    </xf>
    <xf numFmtId="0" fontId="1" fillId="0" borderId="18" xfId="0" applyFont="1" applyBorder="1" applyAlignment="1">
      <alignment horizontal="left" vertical="top"/>
    </xf>
    <xf numFmtId="3" fontId="2" fillId="11" borderId="14" xfId="1" applyNumberFormat="1" applyFont="1" applyFill="1" applyBorder="1" applyAlignment="1">
      <alignment horizontal="left" vertical="top"/>
    </xf>
    <xf numFmtId="0" fontId="1" fillId="0" borderId="15" xfId="0" applyFont="1" applyBorder="1" applyAlignment="1">
      <alignment horizontal="left" vertical="top"/>
    </xf>
    <xf numFmtId="0" fontId="1" fillId="0" borderId="19" xfId="0" applyFont="1" applyBorder="1" applyAlignment="1">
      <alignment horizontal="left" vertical="top"/>
    </xf>
    <xf numFmtId="3" fontId="2" fillId="11" borderId="7" xfId="1" applyNumberFormat="1" applyFont="1" applyFill="1" applyBorder="1" applyAlignment="1">
      <alignment horizontal="left" vertical="top" wrapText="1"/>
    </xf>
    <xf numFmtId="3" fontId="2" fillId="11" borderId="0" xfId="1" applyNumberFormat="1" applyFont="1" applyFill="1" applyBorder="1" applyAlignment="1">
      <alignment horizontal="left" vertical="top" wrapText="1"/>
    </xf>
    <xf numFmtId="3" fontId="2" fillId="11" borderId="18" xfId="1" applyNumberFormat="1" applyFont="1" applyFill="1" applyBorder="1" applyAlignment="1">
      <alignment horizontal="left" vertical="top" wrapText="1"/>
    </xf>
    <xf numFmtId="3" fontId="2" fillId="11" borderId="14" xfId="1" applyNumberFormat="1" applyFont="1" applyFill="1" applyBorder="1" applyAlignment="1">
      <alignment horizontal="left" vertical="top" wrapText="1"/>
    </xf>
    <xf numFmtId="3" fontId="2" fillId="11" borderId="15" xfId="1" applyNumberFormat="1" applyFont="1" applyFill="1" applyBorder="1" applyAlignment="1">
      <alignment horizontal="left" vertical="top" wrapText="1"/>
    </xf>
    <xf numFmtId="3" fontId="2" fillId="11" borderId="19" xfId="1" applyNumberFormat="1" applyFont="1" applyFill="1" applyBorder="1" applyAlignment="1">
      <alignment horizontal="left" vertical="top" wrapText="1"/>
    </xf>
    <xf numFmtId="3" fontId="2" fillId="11" borderId="5" xfId="1" applyNumberFormat="1" applyFont="1" applyFill="1" applyBorder="1" applyAlignment="1">
      <alignment horizontal="left" vertical="top" wrapText="1"/>
    </xf>
    <xf numFmtId="3" fontId="2" fillId="11" borderId="6" xfId="1" applyNumberFormat="1" applyFont="1" applyFill="1" applyBorder="1" applyAlignment="1">
      <alignment horizontal="left" vertical="top" wrapText="1"/>
    </xf>
    <xf numFmtId="3" fontId="2" fillId="11" borderId="17" xfId="1" applyNumberFormat="1" applyFont="1" applyFill="1" applyBorder="1" applyAlignment="1">
      <alignment horizontal="left" vertical="top" wrapText="1"/>
    </xf>
    <xf numFmtId="3" fontId="2" fillId="11" borderId="0" xfId="1" applyNumberFormat="1" applyFont="1" applyFill="1" applyBorder="1" applyAlignment="1">
      <alignment horizontal="left" vertical="top"/>
    </xf>
    <xf numFmtId="3" fontId="2" fillId="11" borderId="18" xfId="1" applyNumberFormat="1" applyFont="1" applyFill="1" applyBorder="1" applyAlignment="1">
      <alignment horizontal="left" vertical="top"/>
    </xf>
    <xf numFmtId="3" fontId="2" fillId="11" borderId="5" xfId="1" applyNumberFormat="1" applyFont="1" applyFill="1" applyBorder="1" applyAlignment="1">
      <alignment horizontal="left" vertical="top"/>
    </xf>
    <xf numFmtId="0" fontId="1" fillId="0" borderId="6" xfId="0" applyFont="1" applyBorder="1" applyAlignment="1">
      <alignment horizontal="left" vertical="top"/>
    </xf>
    <xf numFmtId="0" fontId="1" fillId="0" borderId="17" xfId="0" applyFont="1" applyBorder="1" applyAlignment="1">
      <alignment horizontal="left" vertical="top"/>
    </xf>
    <xf numFmtId="3" fontId="2" fillId="29" borderId="5" xfId="1" applyNumberFormat="1" applyFont="1" applyFill="1" applyBorder="1" applyAlignment="1">
      <alignment horizontal="left" vertical="top"/>
    </xf>
    <xf numFmtId="0" fontId="1" fillId="29" borderId="6" xfId="0" applyFont="1" applyFill="1" applyBorder="1" applyAlignment="1">
      <alignment horizontal="left" vertical="top"/>
    </xf>
    <xf numFmtId="3" fontId="3" fillId="11" borderId="7" xfId="1" applyNumberFormat="1" applyFont="1" applyFill="1" applyBorder="1" applyAlignment="1">
      <alignment horizontal="left" vertical="top"/>
    </xf>
    <xf numFmtId="0" fontId="41" fillId="0" borderId="0" xfId="0" applyFont="1" applyBorder="1" applyAlignment="1">
      <alignment horizontal="left" vertical="top"/>
    </xf>
    <xf numFmtId="0" fontId="41" fillId="0" borderId="18" xfId="0" applyFont="1" applyBorder="1" applyAlignment="1">
      <alignment horizontal="left" vertical="top"/>
    </xf>
    <xf numFmtId="3" fontId="2" fillId="29" borderId="7" xfId="1" applyNumberFormat="1" applyFont="1" applyFill="1" applyBorder="1" applyAlignment="1">
      <alignment horizontal="left" vertical="top"/>
    </xf>
    <xf numFmtId="0" fontId="1" fillId="29" borderId="0" xfId="0" applyFont="1" applyFill="1" applyAlignment="1">
      <alignment horizontal="left" vertical="top"/>
    </xf>
    <xf numFmtId="165" fontId="3" fillId="8" borderId="8" xfId="3" applyNumberFormat="1" applyFont="1" applyFill="1" applyBorder="1" applyAlignment="1">
      <alignment horizontal="left" wrapText="1"/>
    </xf>
    <xf numFmtId="165" fontId="3" fillId="8" borderId="9" xfId="3" applyNumberFormat="1" applyFont="1" applyFill="1" applyBorder="1" applyAlignment="1">
      <alignment horizontal="left" wrapText="1"/>
    </xf>
    <xf numFmtId="165" fontId="3" fillId="8" borderId="10" xfId="3" applyNumberFormat="1" applyFont="1" applyFill="1" applyBorder="1" applyAlignment="1">
      <alignment horizontal="left" wrapText="1"/>
    </xf>
    <xf numFmtId="3" fontId="2" fillId="11" borderId="7" xfId="1" applyNumberFormat="1" applyFont="1" applyFill="1" applyBorder="1" applyAlignment="1">
      <alignment horizontal="left" wrapText="1"/>
    </xf>
    <xf numFmtId="3" fontId="2" fillId="11" borderId="0" xfId="1" applyNumberFormat="1" applyFont="1" applyFill="1" applyBorder="1" applyAlignment="1">
      <alignment horizontal="left" wrapText="1"/>
    </xf>
    <xf numFmtId="3" fontId="2" fillId="11" borderId="18" xfId="1" applyNumberFormat="1" applyFont="1" applyFill="1" applyBorder="1" applyAlignment="1">
      <alignment horizontal="left" wrapText="1"/>
    </xf>
    <xf numFmtId="3" fontId="3" fillId="11" borderId="5" xfId="1" applyNumberFormat="1" applyFont="1" applyFill="1" applyBorder="1" applyAlignment="1">
      <alignment horizontal="left" vertical="top"/>
    </xf>
    <xf numFmtId="3" fontId="3" fillId="11" borderId="6" xfId="1" applyNumberFormat="1" applyFont="1" applyFill="1" applyBorder="1" applyAlignment="1">
      <alignment horizontal="left" vertical="top"/>
    </xf>
    <xf numFmtId="3" fontId="3" fillId="11" borderId="17" xfId="1" applyNumberFormat="1" applyFont="1" applyFill="1" applyBorder="1" applyAlignment="1">
      <alignment horizontal="left" vertical="top"/>
    </xf>
    <xf numFmtId="0" fontId="7" fillId="23" borderId="4" xfId="1" applyFont="1" applyFill="1" applyBorder="1" applyAlignment="1">
      <alignment horizontal="left"/>
    </xf>
    <xf numFmtId="0" fontId="14" fillId="23" borderId="2" xfId="1" applyFont="1" applyFill="1" applyBorder="1" applyAlignment="1">
      <alignment horizontal="left"/>
    </xf>
    <xf numFmtId="0" fontId="14" fillId="23" borderId="1" xfId="1" applyFont="1" applyFill="1" applyBorder="1" applyAlignment="1">
      <alignment horizontal="left"/>
    </xf>
    <xf numFmtId="0" fontId="15" fillId="13" borderId="8" xfId="1" applyFont="1" applyFill="1" applyBorder="1" applyAlignment="1">
      <alignment horizontal="center"/>
    </xf>
    <xf numFmtId="0" fontId="15" fillId="13" borderId="9" xfId="1" applyFont="1" applyFill="1" applyBorder="1" applyAlignment="1">
      <alignment horizontal="center"/>
    </xf>
    <xf numFmtId="0" fontId="15" fillId="13" borderId="10" xfId="1" applyFont="1" applyFill="1" applyBorder="1" applyAlignment="1">
      <alignment horizontal="center"/>
    </xf>
    <xf numFmtId="0" fontId="16" fillId="11" borderId="8" xfId="1" applyFont="1" applyFill="1" applyBorder="1" applyAlignment="1">
      <alignment horizontal="center" wrapText="1"/>
    </xf>
    <xf numFmtId="0" fontId="16" fillId="11" borderId="10" xfId="1" applyFont="1" applyFill="1" applyBorder="1" applyAlignment="1">
      <alignment horizontal="center" wrapText="1"/>
    </xf>
    <xf numFmtId="0" fontId="15" fillId="11" borderId="8" xfId="1" applyFont="1" applyFill="1" applyBorder="1" applyAlignment="1">
      <alignment horizontal="left" wrapText="1"/>
    </xf>
    <xf numFmtId="0" fontId="15" fillId="11" borderId="9" xfId="1" applyFont="1" applyFill="1" applyBorder="1" applyAlignment="1">
      <alignment horizontal="left" wrapText="1"/>
    </xf>
    <xf numFmtId="0" fontId="15" fillId="11" borderId="10" xfId="1" applyFont="1" applyFill="1" applyBorder="1" applyAlignment="1">
      <alignment horizontal="left" wrapText="1"/>
    </xf>
    <xf numFmtId="0" fontId="16" fillId="11" borderId="5" xfId="1" applyFont="1" applyFill="1" applyBorder="1" applyAlignment="1">
      <alignment horizontal="center" wrapText="1"/>
    </xf>
    <xf numFmtId="0" fontId="16" fillId="11" borderId="6" xfId="1" applyFont="1" applyFill="1" applyBorder="1" applyAlignment="1">
      <alignment horizontal="center" wrapText="1"/>
    </xf>
    <xf numFmtId="0" fontId="16" fillId="11" borderId="17" xfId="1" applyFont="1" applyFill="1" applyBorder="1" applyAlignment="1">
      <alignment horizontal="center" wrapText="1"/>
    </xf>
    <xf numFmtId="0" fontId="18" fillId="2" borderId="11" xfId="0" applyFont="1" applyFill="1" applyBorder="1" applyAlignment="1">
      <alignment horizontal="center" vertical="center" wrapText="1"/>
    </xf>
    <xf numFmtId="3" fontId="15" fillId="17" borderId="11" xfId="1" applyNumberFormat="1" applyFont="1" applyFill="1" applyBorder="1" applyAlignment="1">
      <alignment horizontal="left" vertical="center" wrapText="1"/>
    </xf>
    <xf numFmtId="3" fontId="15" fillId="17" borderId="11" xfId="1" applyNumberFormat="1" applyFont="1" applyFill="1" applyBorder="1" applyAlignment="1">
      <alignment horizontal="left" vertical="center"/>
    </xf>
    <xf numFmtId="0" fontId="21" fillId="11" borderId="8" xfId="1" applyFont="1" applyFill="1" applyBorder="1" applyAlignment="1">
      <alignment horizontal="center"/>
    </xf>
    <xf numFmtId="0" fontId="21" fillId="11" borderId="9" xfId="1" applyFont="1" applyFill="1" applyBorder="1" applyAlignment="1">
      <alignment horizontal="center"/>
    </xf>
    <xf numFmtId="0" fontId="16" fillId="13" borderId="8" xfId="1" applyFont="1" applyFill="1" applyBorder="1" applyAlignment="1">
      <alignment horizontal="center"/>
    </xf>
    <xf numFmtId="0" fontId="16" fillId="13" borderId="9" xfId="1" applyFont="1" applyFill="1" applyBorder="1" applyAlignment="1">
      <alignment horizontal="center"/>
    </xf>
    <xf numFmtId="0" fontId="25" fillId="13" borderId="14" xfId="1" applyFont="1" applyFill="1" applyBorder="1" applyAlignment="1">
      <alignment horizontal="center"/>
    </xf>
    <xf numFmtId="0" fontId="25" fillId="13" borderId="15" xfId="1" applyFont="1" applyFill="1" applyBorder="1" applyAlignment="1">
      <alignment horizontal="center"/>
    </xf>
    <xf numFmtId="0" fontId="16" fillId="13" borderId="10" xfId="1" applyFont="1" applyFill="1" applyBorder="1" applyAlignment="1">
      <alignment horizontal="center"/>
    </xf>
    <xf numFmtId="0" fontId="16" fillId="13" borderId="8" xfId="1" applyFont="1" applyFill="1" applyBorder="1" applyAlignment="1">
      <alignment horizontal="center" wrapText="1"/>
    </xf>
    <xf numFmtId="0" fontId="16" fillId="13" borderId="9" xfId="1" applyFont="1" applyFill="1" applyBorder="1" applyAlignment="1">
      <alignment horizontal="center" wrapText="1"/>
    </xf>
    <xf numFmtId="0" fontId="37" fillId="11" borderId="8" xfId="1" applyFont="1" applyFill="1" applyBorder="1" applyAlignment="1">
      <alignment horizontal="center"/>
    </xf>
    <xf numFmtId="0" fontId="37" fillId="11" borderId="9" xfId="1" applyFont="1" applyFill="1" applyBorder="1" applyAlignment="1">
      <alignment horizontal="center"/>
    </xf>
    <xf numFmtId="0" fontId="35" fillId="13" borderId="8" xfId="0" applyFont="1" applyFill="1" applyBorder="1" applyAlignment="1">
      <alignment horizontal="center" wrapText="1"/>
    </xf>
    <xf numFmtId="0" fontId="35" fillId="13" borderId="9" xfId="0" applyFont="1" applyFill="1" applyBorder="1" applyAlignment="1">
      <alignment horizontal="center" wrapText="1"/>
    </xf>
    <xf numFmtId="3" fontId="15" fillId="17" borderId="8" xfId="1" applyNumberFormat="1" applyFont="1" applyFill="1" applyBorder="1" applyAlignment="1">
      <alignment horizontal="center" vertical="center"/>
    </xf>
    <xf numFmtId="3" fontId="15" fillId="17" borderId="9" xfId="1" applyNumberFormat="1" applyFont="1" applyFill="1" applyBorder="1" applyAlignment="1">
      <alignment horizontal="center" vertical="center"/>
    </xf>
    <xf numFmtId="3" fontId="15" fillId="17" borderId="10" xfId="1" applyNumberFormat="1" applyFont="1" applyFill="1" applyBorder="1" applyAlignment="1">
      <alignment horizontal="center" vertical="center"/>
    </xf>
    <xf numFmtId="0" fontId="12" fillId="23" borderId="4" xfId="1" applyFont="1" applyFill="1" applyBorder="1" applyAlignment="1">
      <alignment horizontal="left"/>
    </xf>
    <xf numFmtId="0" fontId="3" fillId="23" borderId="2" xfId="1" applyFont="1" applyFill="1" applyBorder="1" applyAlignment="1">
      <alignment horizontal="left"/>
    </xf>
    <xf numFmtId="0" fontId="3" fillId="23" borderId="1" xfId="1" applyFont="1" applyFill="1" applyBorder="1" applyAlignment="1">
      <alignment horizontal="left"/>
    </xf>
    <xf numFmtId="0" fontId="16" fillId="13" borderId="8" xfId="1" applyFont="1" applyFill="1" applyBorder="1" applyAlignment="1">
      <alignment horizontal="left" wrapText="1"/>
    </xf>
    <xf numFmtId="0" fontId="16" fillId="13" borderId="9" xfId="1" applyFont="1" applyFill="1" applyBorder="1" applyAlignment="1">
      <alignment horizontal="left" wrapText="1"/>
    </xf>
    <xf numFmtId="0" fontId="12" fillId="23" borderId="4" xfId="10" applyFont="1" applyFill="1" applyBorder="1" applyAlignment="1">
      <alignment horizontal="left"/>
    </xf>
    <xf numFmtId="0" fontId="3" fillId="23" borderId="2" xfId="10" applyFont="1" applyFill="1" applyBorder="1" applyAlignment="1">
      <alignment horizontal="left"/>
    </xf>
    <xf numFmtId="0" fontId="21" fillId="11" borderId="8" xfId="10" applyFont="1" applyFill="1" applyBorder="1" applyAlignment="1">
      <alignment horizontal="left"/>
    </xf>
    <xf numFmtId="0" fontId="21" fillId="11" borderId="9" xfId="10" applyFont="1" applyFill="1" applyBorder="1" applyAlignment="1">
      <alignment horizontal="left"/>
    </xf>
    <xf numFmtId="0" fontId="16" fillId="13" borderId="8" xfId="10" applyFont="1" applyFill="1" applyBorder="1" applyAlignment="1">
      <alignment horizontal="center" vertical="center"/>
    </xf>
    <xf numFmtId="0" fontId="16" fillId="13" borderId="9" xfId="10" applyFont="1" applyFill="1" applyBorder="1" applyAlignment="1">
      <alignment horizontal="center" vertical="center"/>
    </xf>
    <xf numFmtId="0" fontId="16" fillId="13" borderId="10" xfId="10" applyFont="1" applyFill="1" applyBorder="1" applyAlignment="1">
      <alignment horizontal="center" vertical="center"/>
    </xf>
    <xf numFmtId="0" fontId="12" fillId="23" borderId="24" xfId="1" applyFont="1" applyFill="1" applyBorder="1" applyAlignment="1">
      <alignment horizontal="left" vertical="center"/>
    </xf>
    <xf numFmtId="0" fontId="12" fillId="23" borderId="25" xfId="1" applyFont="1" applyFill="1" applyBorder="1" applyAlignment="1">
      <alignment horizontal="left" vertical="center"/>
    </xf>
    <xf numFmtId="0" fontId="12" fillId="23" borderId="26" xfId="1" applyFont="1" applyFill="1" applyBorder="1" applyAlignment="1">
      <alignment horizontal="left" vertical="center"/>
    </xf>
    <xf numFmtId="0" fontId="33" fillId="13" borderId="29" xfId="1" applyFont="1" applyFill="1" applyBorder="1" applyAlignment="1">
      <alignment horizontal="left" wrapText="1"/>
    </xf>
    <xf numFmtId="0" fontId="33" fillId="13" borderId="9" xfId="1" applyFont="1" applyFill="1" applyBorder="1" applyAlignment="1">
      <alignment horizontal="left" wrapText="1"/>
    </xf>
    <xf numFmtId="0" fontId="33" fillId="13" borderId="32" xfId="1" applyFont="1" applyFill="1" applyBorder="1" applyAlignment="1">
      <alignment horizontal="left" wrapText="1"/>
    </xf>
    <xf numFmtId="0" fontId="33" fillId="13" borderId="27" xfId="1" applyFont="1" applyFill="1" applyBorder="1" applyAlignment="1">
      <alignment horizontal="left" wrapText="1"/>
    </xf>
    <xf numFmtId="0" fontId="33" fillId="13" borderId="0" xfId="1" applyFont="1" applyFill="1" applyBorder="1" applyAlignment="1">
      <alignment horizontal="left" wrapText="1"/>
    </xf>
    <xf numFmtId="0" fontId="33" fillId="13" borderId="28" xfId="1" applyFont="1" applyFill="1" applyBorder="1" applyAlignment="1">
      <alignment horizontal="left" wrapText="1"/>
    </xf>
  </cellXfs>
  <cellStyles count="18">
    <cellStyle name="Accent6" xfId="15" builtinId="49" hidden="1"/>
    <cellStyle name="Bad" xfId="17" builtinId="27"/>
    <cellStyle name="Comma 2" xfId="2"/>
    <cellStyle name="Data" xfId="16"/>
    <cellStyle name="Heading 2 2" xfId="12"/>
    <cellStyle name="highlightText" xfId="13"/>
    <cellStyle name="Hyperlink 2" xfId="5"/>
    <cellStyle name="Komma 3" xfId="8"/>
    <cellStyle name="Normal" xfId="0" builtinId="0"/>
    <cellStyle name="Normal 2" xfId="1"/>
    <cellStyle name="Normal 3" xfId="10"/>
    <cellStyle name="Output" xfId="11" builtinId="21" hidden="1"/>
    <cellStyle name="Percent" xfId="14" builtinId="5" hidden="1"/>
    <cellStyle name="Percent 2" xfId="3"/>
    <cellStyle name="Percent 2 2" xfId="9"/>
    <cellStyle name="Prozent 5" xfId="7"/>
    <cellStyle name="Standard 2 3" xfId="4"/>
    <cellStyle name="Standard 8" xfId="6"/>
  </cellStyles>
  <dxfs count="1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dxf>
    <dxf>
      <font>
        <condense val="0"/>
        <extend val="0"/>
        <color rgb="FF9C0006"/>
      </font>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1285875</xdr:colOff>
      <xdr:row>8</xdr:row>
      <xdr:rowOff>142875</xdr:rowOff>
    </xdr:from>
    <xdr:to>
      <xdr:col>5</xdr:col>
      <xdr:colOff>152400</xdr:colOff>
      <xdr:row>20</xdr:row>
      <xdr:rowOff>32385</xdr:rowOff>
    </xdr:to>
    <xdr:sp macro="" textlink="">
      <xdr:nvSpPr>
        <xdr:cNvPr id="2" name="AutoShape 8856"/>
        <xdr:cNvSpPr>
          <a:spLocks noChangeAspect="1" noChangeArrowheads="1"/>
        </xdr:cNvSpPr>
      </xdr:nvSpPr>
      <xdr:spPr bwMode="auto">
        <a:xfrm>
          <a:off x="7831455" y="2025015"/>
          <a:ext cx="1853565" cy="4911090"/>
        </a:xfrm>
        <a:prstGeom prst="rect">
          <a:avLst/>
        </a:prstGeom>
        <a:noFill/>
        <a:ln w="9525">
          <a:noFill/>
          <a:miter lim="800000"/>
          <a:headEnd/>
          <a:tailEnd/>
        </a:ln>
      </xdr:spPr>
    </xdr:sp>
    <xdr:clientData/>
  </xdr:twoCellAnchor>
  <xdr:twoCellAnchor editAs="oneCell">
    <xdr:from>
      <xdr:col>5</xdr:col>
      <xdr:colOff>695325</xdr:colOff>
      <xdr:row>8</xdr:row>
      <xdr:rowOff>104775</xdr:rowOff>
    </xdr:from>
    <xdr:to>
      <xdr:col>8</xdr:col>
      <xdr:colOff>318135</xdr:colOff>
      <xdr:row>20</xdr:row>
      <xdr:rowOff>0</xdr:rowOff>
    </xdr:to>
    <xdr:sp macro="" textlink="">
      <xdr:nvSpPr>
        <xdr:cNvPr id="3" name="AutoShape 8856"/>
        <xdr:cNvSpPr>
          <a:spLocks noChangeAspect="1" noChangeArrowheads="1"/>
        </xdr:cNvSpPr>
      </xdr:nvSpPr>
      <xdr:spPr bwMode="auto">
        <a:xfrm>
          <a:off x="10227945" y="1986915"/>
          <a:ext cx="3562350" cy="491109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ferdem\Dropbox\stress%20testing\1-TF%20meetings\2nd%20meeting\final%20documents\A-2%20liquiditytool_v1.5_201206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ferdem\Dropbox\stress%20testing\3rd%20meeting\A-2%20liquiditytool_v1.5_201206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ferdem\Dropbox\stress%20testing\3rd%20meeting\IIFS%20-A-2%20liquiditytool_v1.5_201206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Monitor - Input"/>
      <sheetName val="Method_Liqudity"/>
      <sheetName val="Roadmap"/>
      <sheetName val="Input - Banks Liqudity"/>
      <sheetName val="Input - Banks Solvency"/>
      <sheetName val="Assumptions - General"/>
      <sheetName val="Assumptions - Manual"/>
      <sheetName val="CF Monitor - Assumptions"/>
      <sheetName val="Calculation"/>
      <sheetName val="Summary"/>
      <sheetName val="Implied Cash Flow"/>
      <sheetName val="Maturity Mismatch"/>
      <sheetName val="Cash Flow"/>
      <sheetName val="CF Monitor - Results"/>
      <sheetName val="Solvency Link"/>
      <sheetName val="Setup"/>
      <sheetName val="Vari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0">
          <cell r="C40">
            <v>1</v>
          </cell>
          <cell r="D40">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Monitor - Input"/>
      <sheetName val="Method_Liqudity"/>
      <sheetName val="Roadmap"/>
      <sheetName val="Input - Banks Liqudity"/>
      <sheetName val="Calculation"/>
      <sheetName val="Implied Cash Flow"/>
      <sheetName val="Input - Banks Solvency"/>
      <sheetName val="Setup"/>
      <sheetName val="Assumptions - General"/>
      <sheetName val="Assumptions - Manual"/>
      <sheetName val="CF Monitor - Assumptions"/>
      <sheetName val="Summary"/>
      <sheetName val="Maturity Mismatch"/>
      <sheetName val="Cash Flow"/>
      <sheetName val="CF Monitor - Results"/>
      <sheetName val="Solvency Link"/>
      <sheetName val="Variables"/>
    </sheetNames>
    <sheetDataSet>
      <sheetData sheetId="0"/>
      <sheetData sheetId="1"/>
      <sheetData sheetId="2"/>
      <sheetData sheetId="3">
        <row r="50">
          <cell r="E50" t="str">
            <v/>
          </cell>
        </row>
      </sheetData>
      <sheetData sheetId="4">
        <row r="21">
          <cell r="D21">
            <v>0</v>
          </cell>
        </row>
      </sheetData>
      <sheetData sheetId="5">
        <row r="13">
          <cell r="C13">
            <v>349593618.94873708</v>
          </cell>
        </row>
      </sheetData>
      <sheetData sheetId="6"/>
      <sheetData sheetId="7"/>
      <sheetData sheetId="8">
        <row r="11">
          <cell r="A11" t="str">
            <v>Demand deposits</v>
          </cell>
        </row>
      </sheetData>
      <sheetData sheetId="9"/>
      <sheetData sheetId="10"/>
      <sheetData sheetId="11"/>
      <sheetData sheetId="12"/>
      <sheetData sheetId="13"/>
      <sheetData sheetId="14"/>
      <sheetData sheetId="15"/>
      <sheetData sheetId="16">
        <row r="40">
          <cell r="C40">
            <v>1</v>
          </cell>
          <cell r="D40">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Monitor - Input"/>
      <sheetName val="1-Method_Liqudity"/>
      <sheetName val="2-Setup"/>
      <sheetName val="3-Variables"/>
      <sheetName val="Roadmap"/>
      <sheetName val="Input - Banks Liqudity"/>
      <sheetName val="Input - Banks Solvency"/>
      <sheetName val="Assumptions - General"/>
      <sheetName val="Assumptions - Manual"/>
      <sheetName val="CF Monitor - Assumptions"/>
      <sheetName val="Calculation"/>
      <sheetName val="Summary"/>
      <sheetName val="Implied Cash Flow"/>
      <sheetName val="Maturity Mismatch"/>
      <sheetName val="Cash Flow"/>
      <sheetName val="CF Monitor - Results"/>
      <sheetName val="Solvency Link"/>
    </sheetNames>
    <sheetDataSet>
      <sheetData sheetId="0"/>
      <sheetData sheetId="1"/>
      <sheetData sheetId="2">
        <row r="138">
          <cell r="C138" t="str">
            <v>Asset backed assets</v>
          </cell>
        </row>
      </sheetData>
      <sheetData sheetId="3">
        <row r="40">
          <cell r="C40">
            <v>1</v>
          </cell>
          <cell r="D40">
            <v>0</v>
          </cell>
        </row>
      </sheetData>
      <sheetData sheetId="4"/>
      <sheetData sheetId="5"/>
      <sheetData sheetId="6">
        <row r="9">
          <cell r="C9" t="str">
            <v>Tier 1</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7"/>
  <sheetViews>
    <sheetView showGridLines="0" tabSelected="1" view="pageLayout" zoomScale="90" zoomScaleNormal="100" zoomScalePageLayoutView="90" workbookViewId="0">
      <selection activeCell="A2" sqref="A2:B2"/>
    </sheetView>
  </sheetViews>
  <sheetFormatPr defaultColWidth="11.42578125" defaultRowHeight="12.75" x14ac:dyDescent="0.2"/>
  <cols>
    <col min="1" max="1" width="12.5703125" style="11" customWidth="1"/>
    <col min="2" max="2" width="44.140625" style="11" customWidth="1"/>
    <col min="3" max="3" width="33.42578125" style="11" bestFit="1" customWidth="1"/>
    <col min="4" max="4" width="22" style="11" customWidth="1"/>
    <col min="5" max="5" width="21.5703125" style="11" customWidth="1"/>
    <col min="6" max="6" width="29.7109375" style="11" customWidth="1"/>
    <col min="7" max="7" width="16.28515625" style="11" bestFit="1" customWidth="1"/>
    <col min="8" max="16384" width="11.42578125" style="11"/>
  </cols>
  <sheetData>
    <row r="1" spans="1:6" x14ac:dyDescent="0.2">
      <c r="A1" s="77"/>
    </row>
    <row r="2" spans="1:6" ht="18" x14ac:dyDescent="0.25">
      <c r="A2" s="852" t="s">
        <v>414</v>
      </c>
      <c r="B2" s="853"/>
    </row>
    <row r="3" spans="1:6" x14ac:dyDescent="0.2">
      <c r="A3" s="90" t="s">
        <v>413</v>
      </c>
      <c r="B3" s="78"/>
      <c r="C3" s="78"/>
      <c r="D3" s="78"/>
      <c r="E3" s="78"/>
      <c r="F3" s="78"/>
    </row>
    <row r="5" spans="1:6" x14ac:dyDescent="0.2">
      <c r="A5" s="79" t="s">
        <v>248</v>
      </c>
      <c r="B5" s="91">
        <v>42667</v>
      </c>
    </row>
    <row r="8" spans="1:6" s="12" customFormat="1" ht="56.25" customHeight="1" x14ac:dyDescent="0.2">
      <c r="A8" s="846" t="s">
        <v>417</v>
      </c>
      <c r="B8" s="847"/>
      <c r="C8" s="847"/>
      <c r="D8" s="847"/>
      <c r="E8" s="847"/>
      <c r="F8" s="848"/>
    </row>
    <row r="9" spans="1:6" s="12" customFormat="1" x14ac:dyDescent="0.2">
      <c r="A9" s="80"/>
      <c r="B9" s="80"/>
      <c r="C9" s="80"/>
      <c r="D9" s="80"/>
      <c r="E9" s="80"/>
    </row>
    <row r="11" spans="1:6" x14ac:dyDescent="0.2">
      <c r="A11" s="849" t="s">
        <v>249</v>
      </c>
      <c r="B11" s="850"/>
      <c r="C11" s="850"/>
      <c r="D11" s="850"/>
      <c r="E11" s="850"/>
      <c r="F11" s="851"/>
    </row>
    <row r="12" spans="1:6" ht="12.75" customHeight="1" x14ac:dyDescent="0.2">
      <c r="A12" s="92"/>
      <c r="B12" s="92"/>
      <c r="C12" s="81" t="s">
        <v>250</v>
      </c>
      <c r="D12" s="82"/>
      <c r="E12" s="81" t="s">
        <v>251</v>
      </c>
      <c r="F12" s="82"/>
    </row>
    <row r="13" spans="1:6" x14ac:dyDescent="0.2">
      <c r="A13" s="83" t="s">
        <v>252</v>
      </c>
      <c r="B13" s="84" t="s">
        <v>253</v>
      </c>
      <c r="C13" s="85" t="s">
        <v>254</v>
      </c>
      <c r="D13" s="85" t="s">
        <v>255</v>
      </c>
      <c r="E13" s="85" t="s">
        <v>254</v>
      </c>
      <c r="F13" s="85" t="s">
        <v>255</v>
      </c>
    </row>
    <row r="14" spans="1:6" ht="102" x14ac:dyDescent="0.2">
      <c r="A14" s="86" t="s">
        <v>256</v>
      </c>
      <c r="B14" s="86" t="s">
        <v>422</v>
      </c>
      <c r="C14" s="87" t="s">
        <v>257</v>
      </c>
      <c r="D14" s="87" t="s">
        <v>418</v>
      </c>
      <c r="E14" s="87" t="s">
        <v>259</v>
      </c>
      <c r="F14" s="87" t="s">
        <v>419</v>
      </c>
    </row>
    <row r="15" spans="1:6" ht="63.75" x14ac:dyDescent="0.2">
      <c r="A15" s="86" t="s">
        <v>213</v>
      </c>
      <c r="B15" s="88" t="s">
        <v>258</v>
      </c>
      <c r="C15" s="87" t="s">
        <v>260</v>
      </c>
      <c r="D15" s="87" t="s">
        <v>321</v>
      </c>
      <c r="E15" s="87" t="s">
        <v>392</v>
      </c>
      <c r="F15" s="87" t="s">
        <v>261</v>
      </c>
    </row>
    <row r="16" spans="1:6" ht="63.75" x14ac:dyDescent="0.2">
      <c r="A16" s="86" t="s">
        <v>391</v>
      </c>
      <c r="B16" s="525" t="s">
        <v>420</v>
      </c>
      <c r="C16" s="526" t="s">
        <v>387</v>
      </c>
      <c r="D16" s="526" t="s">
        <v>388</v>
      </c>
      <c r="E16" s="526" t="s">
        <v>389</v>
      </c>
      <c r="F16" s="526" t="s">
        <v>390</v>
      </c>
    </row>
    <row r="17" spans="1:6" ht="51" x14ac:dyDescent="0.2">
      <c r="A17" s="86" t="s">
        <v>262</v>
      </c>
      <c r="B17" s="89" t="s">
        <v>421</v>
      </c>
      <c r="C17" s="87" t="s">
        <v>263</v>
      </c>
      <c r="D17" s="87" t="s">
        <v>264</v>
      </c>
      <c r="E17" s="87" t="s">
        <v>265</v>
      </c>
      <c r="F17" s="87" t="s">
        <v>266</v>
      </c>
    </row>
  </sheetData>
  <sheetProtection algorithmName="SHA-512" hashValue="I/lKR7vtVgwFHyeBlPEaICcGf5e9eRpIKdbQJ8kL8EI2ba9eTo5sulpu4BjvpGk7c0pr595UARU58HZA9pMvNA==" saltValue="so4SiU8ghokrQ/Ogn+Id2A==" spinCount="100000" sheet="1" objects="1" scenarios="1"/>
  <mergeCells count="3">
    <mergeCell ref="A8:F8"/>
    <mergeCell ref="A11:F11"/>
    <mergeCell ref="A2:B2"/>
  </mergeCells>
  <pageMargins left="0.23622047244094491" right="0.23622047244094491" top="0.74803149606299213" bottom="0.74803149606299213" header="0.31496062992125984" footer="0.31496062992125984"/>
  <pageSetup paperSize="13" scale="75" fitToHeight="0" orientation="landscape" r:id="rId1"/>
  <headerFooter>
    <oddHeader xml:space="preserve">&amp;C© Islamic Financial Services Board 2017. 
This document is part of TN-2 (Technical Note on Stress Testing for Institutions offering Financial Services), December 2016. </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outlinePr summaryRight="0"/>
    <pageSetUpPr fitToPage="1"/>
  </sheetPr>
  <dimension ref="A1:M313"/>
  <sheetViews>
    <sheetView view="pageLayout" zoomScale="80" zoomScaleNormal="100" zoomScalePageLayoutView="80" workbookViewId="0"/>
  </sheetViews>
  <sheetFormatPr defaultColWidth="11.42578125" defaultRowHeight="12" customHeight="1" x14ac:dyDescent="0.2"/>
  <cols>
    <col min="1" max="2" width="2.7109375" style="410" customWidth="1"/>
    <col min="3" max="3" width="3.28515625" style="410" customWidth="1"/>
    <col min="4" max="4" width="2.7109375" style="410" customWidth="1"/>
    <col min="5" max="5" width="72.5703125" style="409" customWidth="1"/>
    <col min="6" max="6" width="5" style="409" customWidth="1"/>
    <col min="7" max="7" width="14" style="409" customWidth="1"/>
    <col min="8" max="8" width="3.5703125" style="409" customWidth="1"/>
    <col min="9" max="13" width="13" style="409" customWidth="1"/>
    <col min="14" max="16384" width="11.42578125" style="1"/>
  </cols>
  <sheetData>
    <row r="1" spans="1:13" ht="12" customHeight="1" x14ac:dyDescent="0.2">
      <c r="A1" s="411"/>
      <c r="B1" s="411"/>
      <c r="C1" s="411"/>
      <c r="D1" s="411"/>
      <c r="E1" s="412"/>
      <c r="F1" s="412"/>
      <c r="G1" s="412"/>
      <c r="H1" s="412"/>
      <c r="I1" s="413"/>
      <c r="K1" s="412"/>
      <c r="M1" s="412"/>
    </row>
    <row r="2" spans="1:13" ht="12.75" x14ac:dyDescent="0.2">
      <c r="A2" s="635" t="s">
        <v>415</v>
      </c>
      <c r="B2" s="635"/>
      <c r="C2" s="635"/>
      <c r="D2" s="635"/>
      <c r="E2" s="636"/>
      <c r="F2" s="637"/>
      <c r="G2" s="636"/>
      <c r="H2" s="637"/>
      <c r="I2" s="638"/>
      <c r="J2" s="639"/>
      <c r="K2" s="636"/>
      <c r="L2" s="639"/>
      <c r="M2" s="636"/>
    </row>
    <row r="3" spans="1:13" ht="12" customHeight="1" x14ac:dyDescent="0.2">
      <c r="A3" s="640"/>
      <c r="B3" s="640"/>
      <c r="C3" s="640"/>
      <c r="D3" s="640"/>
      <c r="E3" s="641"/>
      <c r="F3" s="642"/>
      <c r="G3" s="641"/>
      <c r="H3" s="642"/>
      <c r="I3" s="643"/>
      <c r="J3" s="10"/>
      <c r="K3" s="641"/>
      <c r="L3" s="10"/>
      <c r="M3" s="641"/>
    </row>
    <row r="4" spans="1:13" s="3" customFormat="1" ht="12.75" x14ac:dyDescent="0.2">
      <c r="A4" s="644" t="s">
        <v>70</v>
      </c>
      <c r="B4" s="645"/>
      <c r="C4" s="645"/>
      <c r="D4" s="645"/>
      <c r="E4" s="646"/>
      <c r="F4" s="647"/>
      <c r="G4" s="648" t="s">
        <v>8</v>
      </c>
      <c r="H4" s="647"/>
      <c r="I4" s="649" t="s">
        <v>191</v>
      </c>
      <c r="J4" s="649" t="s">
        <v>192</v>
      </c>
      <c r="K4" s="649" t="s">
        <v>193</v>
      </c>
      <c r="L4" s="649" t="s">
        <v>194</v>
      </c>
      <c r="M4" s="650" t="s">
        <v>195</v>
      </c>
    </row>
    <row r="5" spans="1:13" s="4" customFormat="1" ht="12.75" x14ac:dyDescent="0.2">
      <c r="A5" s="651" t="s">
        <v>9</v>
      </c>
      <c r="B5" s="651"/>
      <c r="C5" s="651"/>
      <c r="D5" s="651"/>
      <c r="E5" s="651"/>
      <c r="F5" s="651"/>
      <c r="G5" s="652">
        <v>2014</v>
      </c>
      <c r="H5" s="651"/>
      <c r="I5" s="653">
        <v>2014</v>
      </c>
      <c r="J5" s="653">
        <v>2014</v>
      </c>
      <c r="K5" s="653">
        <v>2014</v>
      </c>
      <c r="L5" s="653">
        <v>2014</v>
      </c>
      <c r="M5" s="653">
        <v>2014</v>
      </c>
    </row>
    <row r="6" spans="1:13" s="4" customFormat="1" ht="12.75" x14ac:dyDescent="0.2">
      <c r="A6" s="651" t="s">
        <v>10</v>
      </c>
      <c r="B6" s="651"/>
      <c r="C6" s="651"/>
      <c r="D6" s="651"/>
      <c r="E6" s="651"/>
      <c r="F6" s="651"/>
      <c r="G6" s="654">
        <v>12</v>
      </c>
      <c r="H6" s="651"/>
      <c r="I6" s="653">
        <v>12</v>
      </c>
      <c r="J6" s="653">
        <v>12</v>
      </c>
      <c r="K6" s="653">
        <v>12</v>
      </c>
      <c r="L6" s="653">
        <v>12</v>
      </c>
      <c r="M6" s="653">
        <v>12</v>
      </c>
    </row>
    <row r="7" spans="1:13" s="4" customFormat="1" ht="12.75" x14ac:dyDescent="0.2">
      <c r="A7" s="651" t="s">
        <v>11</v>
      </c>
      <c r="B7" s="651"/>
      <c r="C7" s="651"/>
      <c r="D7" s="651"/>
      <c r="E7" s="655"/>
      <c r="F7" s="651"/>
      <c r="G7" s="654"/>
      <c r="H7" s="651"/>
      <c r="I7" s="656" t="s">
        <v>267</v>
      </c>
      <c r="J7" s="656" t="s">
        <v>267</v>
      </c>
      <c r="K7" s="656" t="s">
        <v>267</v>
      </c>
      <c r="L7" s="656" t="s">
        <v>267</v>
      </c>
      <c r="M7" s="656" t="s">
        <v>267</v>
      </c>
    </row>
    <row r="8" spans="1:13" s="4" customFormat="1" ht="12.75" x14ac:dyDescent="0.2">
      <c r="A8" s="651" t="s">
        <v>12</v>
      </c>
      <c r="B8" s="651"/>
      <c r="C8" s="651"/>
      <c r="D8" s="651"/>
      <c r="E8" s="651"/>
      <c r="F8" s="651"/>
      <c r="G8" s="654"/>
      <c r="H8" s="651"/>
      <c r="I8" s="657"/>
      <c r="J8" s="657"/>
      <c r="K8" s="657"/>
      <c r="L8" s="657"/>
      <c r="M8" s="657"/>
    </row>
    <row r="9" spans="1:13" s="4" customFormat="1" ht="12.75" x14ac:dyDescent="0.2">
      <c r="A9" s="651" t="s">
        <v>13</v>
      </c>
      <c r="B9" s="651"/>
      <c r="C9" s="651"/>
      <c r="D9" s="651"/>
      <c r="E9" s="651"/>
      <c r="F9" s="651"/>
      <c r="G9" s="654"/>
      <c r="H9" s="651"/>
      <c r="I9" s="653"/>
      <c r="J9" s="653"/>
      <c r="K9" s="653"/>
      <c r="L9" s="653"/>
      <c r="M9" s="653"/>
    </row>
    <row r="10" spans="1:13" s="5" customFormat="1" ht="12.75" x14ac:dyDescent="0.2">
      <c r="A10" s="658" t="s">
        <v>14</v>
      </c>
      <c r="B10" s="658"/>
      <c r="C10" s="658"/>
      <c r="D10" s="658"/>
      <c r="E10" s="658"/>
      <c r="F10" s="658"/>
      <c r="G10" s="659"/>
      <c r="H10" s="658"/>
      <c r="I10" s="660"/>
      <c r="J10" s="660"/>
      <c r="K10" s="660"/>
      <c r="L10" s="660"/>
      <c r="M10" s="660"/>
    </row>
    <row r="11" spans="1:13" s="5" customFormat="1" ht="12" customHeight="1" x14ac:dyDescent="0.2">
      <c r="A11" s="661"/>
      <c r="B11" s="661"/>
      <c r="C11" s="661"/>
      <c r="D11" s="661"/>
      <c r="E11" s="661"/>
      <c r="F11" s="661"/>
      <c r="G11" s="661"/>
      <c r="H11" s="661"/>
      <c r="I11" s="662"/>
      <c r="J11" s="662"/>
      <c r="K11" s="662"/>
      <c r="L11" s="662"/>
      <c r="M11" s="662"/>
    </row>
    <row r="12" spans="1:13" s="5" customFormat="1" ht="12" customHeight="1" x14ac:dyDescent="0.2">
      <c r="A12" s="663"/>
      <c r="B12" s="640"/>
      <c r="C12" s="640"/>
      <c r="D12" s="640"/>
      <c r="E12" s="640"/>
      <c r="F12" s="640"/>
      <c r="G12" s="640"/>
      <c r="H12" s="640"/>
      <c r="I12" s="664"/>
      <c r="J12" s="664"/>
      <c r="K12" s="664"/>
      <c r="L12" s="664"/>
      <c r="M12" s="664"/>
    </row>
    <row r="13" spans="1:13" s="3" customFormat="1" ht="12.75" x14ac:dyDescent="0.2">
      <c r="A13" s="644" t="s">
        <v>423</v>
      </c>
      <c r="B13" s="645"/>
      <c r="C13" s="645"/>
      <c r="D13" s="645"/>
      <c r="E13" s="646"/>
      <c r="F13" s="647"/>
      <c r="G13" s="665" t="str">
        <f>G$4</f>
        <v>Total</v>
      </c>
      <c r="H13" s="647"/>
      <c r="I13" s="649" t="str">
        <f>I4</f>
        <v>IIFS1</v>
      </c>
      <c r="J13" s="649" t="str">
        <f>J$4</f>
        <v>IIFS2</v>
      </c>
      <c r="K13" s="649" t="str">
        <f>K$4</f>
        <v>IIFS3</v>
      </c>
      <c r="L13" s="649" t="str">
        <f>L$4</f>
        <v>IIFS4</v>
      </c>
      <c r="M13" s="650" t="str">
        <f>M$4</f>
        <v>IIFS5</v>
      </c>
    </row>
    <row r="14" spans="1:13" s="6" customFormat="1" ht="12" customHeight="1" x14ac:dyDescent="0.2">
      <c r="A14" s="666"/>
      <c r="B14" s="667"/>
      <c r="C14" s="667"/>
      <c r="D14" s="667"/>
      <c r="E14" s="668"/>
      <c r="F14" s="647"/>
      <c r="G14" s="669"/>
      <c r="H14" s="647"/>
      <c r="I14" s="670"/>
      <c r="J14" s="670"/>
      <c r="K14" s="670"/>
      <c r="L14" s="670"/>
      <c r="M14" s="670"/>
    </row>
    <row r="15" spans="1:13" s="7" customFormat="1" ht="12" customHeight="1" x14ac:dyDescent="0.2">
      <c r="A15" s="671" t="s">
        <v>15</v>
      </c>
      <c r="B15" s="671"/>
      <c r="C15" s="671"/>
      <c r="D15" s="671"/>
      <c r="E15" s="672"/>
      <c r="F15" s="672"/>
      <c r="G15" s="673">
        <f>SUM(I15:M15)</f>
        <v>82084134.373911291</v>
      </c>
      <c r="H15" s="672"/>
      <c r="I15" s="674">
        <v>16849328.640699401</v>
      </c>
      <c r="J15" s="675">
        <v>16545896.7205882</v>
      </c>
      <c r="K15" s="675">
        <v>15947302.0410292</v>
      </c>
      <c r="L15" s="675">
        <v>16447157.782196999</v>
      </c>
      <c r="M15" s="676">
        <v>16294449.189397499</v>
      </c>
    </row>
    <row r="16" spans="1:13" s="7" customFormat="1" ht="12" customHeight="1" x14ac:dyDescent="0.2">
      <c r="A16" s="671" t="s">
        <v>40</v>
      </c>
      <c r="B16" s="671"/>
      <c r="C16" s="671"/>
      <c r="D16" s="671"/>
      <c r="E16" s="672"/>
      <c r="F16" s="672"/>
      <c r="G16" s="677">
        <f>SUM(I16:M16)</f>
        <v>1</v>
      </c>
      <c r="H16" s="672"/>
      <c r="I16" s="678">
        <f>I15/$G15</f>
        <v>0.20526900562716544</v>
      </c>
      <c r="J16" s="679">
        <f t="shared" ref="J16:M16" si="0">J15/$G15</f>
        <v>0.20157240917249611</v>
      </c>
      <c r="K16" s="679">
        <f t="shared" si="0"/>
        <v>0.19427995632366335</v>
      </c>
      <c r="L16" s="679">
        <f t="shared" si="0"/>
        <v>0.20036950998687</v>
      </c>
      <c r="M16" s="680">
        <f t="shared" si="0"/>
        <v>0.19850911888980516</v>
      </c>
    </row>
    <row r="17" spans="1:13" s="7" customFormat="1" ht="12" customHeight="1" x14ac:dyDescent="0.2">
      <c r="A17" s="671" t="s">
        <v>173</v>
      </c>
      <c r="B17" s="671"/>
      <c r="C17" s="671"/>
      <c r="D17" s="671"/>
      <c r="E17" s="672"/>
      <c r="F17" s="672"/>
      <c r="G17" s="677">
        <v>0.15</v>
      </c>
      <c r="H17" s="672"/>
      <c r="I17" s="678">
        <f>I16*$G$17</f>
        <v>3.0790350844074815E-2</v>
      </c>
      <c r="J17" s="679">
        <f>J16*$G$17</f>
        <v>3.0235861375874414E-2</v>
      </c>
      <c r="K17" s="679">
        <f>K16*$G$17</f>
        <v>2.9141993448549501E-2</v>
      </c>
      <c r="L17" s="679">
        <f>L16*$G$17</f>
        <v>3.0055426498030498E-2</v>
      </c>
      <c r="M17" s="680">
        <f>M16*$G$17</f>
        <v>2.9776367833470773E-2</v>
      </c>
    </row>
    <row r="18" spans="1:13" s="7" customFormat="1" ht="12" customHeight="1" x14ac:dyDescent="0.2">
      <c r="A18" s="671" t="s">
        <v>16</v>
      </c>
      <c r="B18" s="671"/>
      <c r="C18" s="671"/>
      <c r="D18" s="671"/>
      <c r="E18" s="672"/>
      <c r="F18" s="672"/>
      <c r="G18" s="681">
        <f>SUM(I18:M18)</f>
        <v>30380417</v>
      </c>
      <c r="H18" s="672"/>
      <c r="I18" s="682">
        <f>SUM(I91:I99)</f>
        <v>6300865</v>
      </c>
      <c r="J18" s="683">
        <f>SUM(J91:J99)</f>
        <v>5997190</v>
      </c>
      <c r="K18" s="683">
        <f>SUM(K91:K99)</f>
        <v>4183220</v>
      </c>
      <c r="L18" s="683">
        <f>SUM(L91:L99)</f>
        <v>5963106</v>
      </c>
      <c r="M18" s="684">
        <f>SUM(M91:M99)</f>
        <v>7936036</v>
      </c>
    </row>
    <row r="19" spans="1:13" s="7" customFormat="1" ht="12" customHeight="1" x14ac:dyDescent="0.2">
      <c r="A19" s="671" t="s">
        <v>17</v>
      </c>
      <c r="B19" s="671"/>
      <c r="C19" s="671"/>
      <c r="D19" s="671"/>
      <c r="E19" s="672"/>
      <c r="F19" s="672"/>
      <c r="G19" s="681">
        <f t="shared" ref="G19:G23" si="1">SUM(I19:M19)</f>
        <v>56072164</v>
      </c>
      <c r="H19" s="672"/>
      <c r="I19" s="685">
        <f>+I102</f>
        <v>11418599</v>
      </c>
      <c r="J19" s="686">
        <f t="shared" ref="J19:M19" si="2">+J102</f>
        <v>10439524</v>
      </c>
      <c r="K19" s="686">
        <f t="shared" si="2"/>
        <v>12992519</v>
      </c>
      <c r="L19" s="686">
        <f t="shared" si="2"/>
        <v>12126392</v>
      </c>
      <c r="M19" s="687">
        <f t="shared" si="2"/>
        <v>9095130</v>
      </c>
    </row>
    <row r="20" spans="1:13" s="7" customFormat="1" ht="12" customHeight="1" x14ac:dyDescent="0.2">
      <c r="A20" s="671" t="s">
        <v>18</v>
      </c>
      <c r="B20" s="671"/>
      <c r="C20" s="671"/>
      <c r="D20" s="671"/>
      <c r="E20" s="672"/>
      <c r="F20" s="672"/>
      <c r="G20" s="681">
        <f t="shared" si="1"/>
        <v>74112949.342880189</v>
      </c>
      <c r="H20" s="672"/>
      <c r="I20" s="685">
        <v>14552627.3680404</v>
      </c>
      <c r="J20" s="686">
        <v>15267373.074293099</v>
      </c>
      <c r="K20" s="686">
        <v>14958983.645506199</v>
      </c>
      <c r="L20" s="686">
        <v>14617758.239936801</v>
      </c>
      <c r="M20" s="687">
        <v>14716207.0151037</v>
      </c>
    </row>
    <row r="21" spans="1:13" s="7" customFormat="1" ht="12" customHeight="1" x14ac:dyDescent="0.2">
      <c r="A21" s="671" t="s">
        <v>19</v>
      </c>
      <c r="B21" s="671"/>
      <c r="C21" s="671"/>
      <c r="D21" s="671"/>
      <c r="E21" s="672"/>
      <c r="F21" s="672"/>
      <c r="G21" s="681">
        <f t="shared" si="1"/>
        <v>7009047.8003090415</v>
      </c>
      <c r="H21" s="672"/>
      <c r="I21" s="685">
        <v>1671896.9621844599</v>
      </c>
      <c r="J21" s="686">
        <v>1165293.27040911</v>
      </c>
      <c r="K21" s="686">
        <v>1516350.3243215401</v>
      </c>
      <c r="L21" s="686">
        <v>1574909.5727605813</v>
      </c>
      <c r="M21" s="687">
        <v>1080597.67063335</v>
      </c>
    </row>
    <row r="22" spans="1:13" s="7" customFormat="1" ht="12" customHeight="1" x14ac:dyDescent="0.2">
      <c r="A22" s="884" t="s">
        <v>442</v>
      </c>
      <c r="B22" s="885"/>
      <c r="C22" s="885"/>
      <c r="D22" s="885"/>
      <c r="E22" s="886"/>
      <c r="F22" s="672"/>
      <c r="G22" s="681">
        <f t="shared" si="1"/>
        <v>5726350.5582435541</v>
      </c>
      <c r="H22" s="672"/>
      <c r="I22" s="685">
        <v>1451239.6464571401</v>
      </c>
      <c r="J22" s="686">
        <v>935663.22058439301</v>
      </c>
      <c r="K22" s="686">
        <v>972074.24641214299</v>
      </c>
      <c r="L22" s="686">
        <v>1395942.5758559697</v>
      </c>
      <c r="M22" s="687">
        <v>971430.86893390899</v>
      </c>
    </row>
    <row r="23" spans="1:13" s="7" customFormat="1" ht="12" customHeight="1" x14ac:dyDescent="0.2">
      <c r="A23" s="671" t="s">
        <v>20</v>
      </c>
      <c r="B23" s="671"/>
      <c r="C23" s="671"/>
      <c r="D23" s="671"/>
      <c r="E23" s="672"/>
      <c r="F23" s="672"/>
      <c r="G23" s="681">
        <f t="shared" si="1"/>
        <v>569613.79359345837</v>
      </c>
      <c r="H23" s="672"/>
      <c r="I23" s="685">
        <v>70863.571085035801</v>
      </c>
      <c r="J23" s="686">
        <v>43937.995731830597</v>
      </c>
      <c r="K23" s="686">
        <v>13388.632150366901</v>
      </c>
      <c r="L23" s="686">
        <v>388065.80128669698</v>
      </c>
      <c r="M23" s="687">
        <v>53357.7933395281</v>
      </c>
    </row>
    <row r="24" spans="1:13" s="7" customFormat="1" ht="12" customHeight="1" x14ac:dyDescent="0.2">
      <c r="A24" s="671" t="s">
        <v>21</v>
      </c>
      <c r="B24" s="671"/>
      <c r="C24" s="671"/>
      <c r="D24" s="671"/>
      <c r="E24" s="672"/>
      <c r="F24" s="672"/>
      <c r="G24" s="688">
        <f>SUMPRODUCT(I24:M24,I15:M15)/G15</f>
        <v>0.12167438195058987</v>
      </c>
      <c r="H24" s="672"/>
      <c r="I24" s="689">
        <v>0.12413446278569096</v>
      </c>
      <c r="J24" s="690">
        <v>0.10500012980607008</v>
      </c>
      <c r="K24" s="690">
        <v>0.11903166873484081</v>
      </c>
      <c r="L24" s="690">
        <v>0.13200000000000001</v>
      </c>
      <c r="M24" s="691">
        <v>0.1282261112397548</v>
      </c>
    </row>
    <row r="25" spans="1:13" s="7" customFormat="1" ht="12" customHeight="1" x14ac:dyDescent="0.2">
      <c r="A25" s="692" t="s">
        <v>22</v>
      </c>
      <c r="B25" s="692"/>
      <c r="C25" s="692"/>
      <c r="D25" s="692"/>
      <c r="E25" s="693"/>
      <c r="F25" s="693"/>
      <c r="G25" s="694">
        <f>SUMPRODUCT(I25:M25,I15:M15)/G15</f>
        <v>0.10026300873074093</v>
      </c>
      <c r="H25" s="693"/>
      <c r="I25" s="695">
        <v>0.10775117005468748</v>
      </c>
      <c r="J25" s="696">
        <v>8.4309042290817648E-2</v>
      </c>
      <c r="K25" s="696">
        <v>7.6306654094838694E-2</v>
      </c>
      <c r="L25" s="696">
        <v>0.11699999999999999</v>
      </c>
      <c r="M25" s="697">
        <v>0.11527213693570472</v>
      </c>
    </row>
    <row r="26" spans="1:13" ht="11.25" customHeight="1" x14ac:dyDescent="0.2">
      <c r="A26" s="661"/>
      <c r="B26" s="661"/>
      <c r="C26" s="661"/>
      <c r="D26" s="661"/>
      <c r="E26" s="642"/>
      <c r="F26" s="642"/>
      <c r="G26" s="642"/>
      <c r="H26" s="642"/>
      <c r="I26" s="642"/>
      <c r="J26" s="642"/>
      <c r="K26" s="642"/>
      <c r="L26" s="642"/>
      <c r="M26" s="642"/>
    </row>
    <row r="27" spans="1:13" s="3" customFormat="1" ht="12.75" x14ac:dyDescent="0.2">
      <c r="A27" s="698" t="s">
        <v>23</v>
      </c>
      <c r="B27" s="645"/>
      <c r="C27" s="645"/>
      <c r="D27" s="645"/>
      <c r="E27" s="646"/>
      <c r="F27" s="647"/>
      <c r="G27" s="53" t="str">
        <f>G$4</f>
        <v>Total</v>
      </c>
      <c r="H27" s="647"/>
      <c r="I27" s="649" t="str">
        <f>$I$13</f>
        <v>IIFS1</v>
      </c>
      <c r="J27" s="649" t="str">
        <f>J$4</f>
        <v>IIFS2</v>
      </c>
      <c r="K27" s="649" t="str">
        <f>K$4</f>
        <v>IIFS3</v>
      </c>
      <c r="L27" s="649" t="str">
        <f>L$4</f>
        <v>IIFS4</v>
      </c>
      <c r="M27" s="650" t="str">
        <f>M$4</f>
        <v>IIFS5</v>
      </c>
    </row>
    <row r="28" spans="1:13" ht="12" customHeight="1" x14ac:dyDescent="0.2">
      <c r="A28" s="661"/>
      <c r="B28" s="661"/>
      <c r="C28" s="661"/>
      <c r="D28" s="661"/>
      <c r="E28" s="642"/>
      <c r="F28" s="642"/>
      <c r="G28" s="642"/>
      <c r="H28" s="642"/>
      <c r="I28" s="642"/>
      <c r="J28" s="642"/>
      <c r="K28" s="642"/>
      <c r="L28" s="642"/>
      <c r="M28" s="642"/>
    </row>
    <row r="29" spans="1:13" ht="12" customHeight="1" x14ac:dyDescent="0.2">
      <c r="A29" s="661"/>
      <c r="B29" s="671" t="s">
        <v>24</v>
      </c>
      <c r="C29" s="671"/>
      <c r="D29" s="671"/>
      <c r="E29" s="672"/>
      <c r="F29" s="642"/>
      <c r="G29" s="699">
        <f>SUMPRODUCT(I29:M29,I$16:M$16)</f>
        <v>0.37011314344390245</v>
      </c>
      <c r="H29" s="642"/>
      <c r="I29" s="700">
        <f>IF(ISNUMBER(I18/I15),I18/I15,"n.a.")</f>
        <v>0.37395347520139866</v>
      </c>
      <c r="J29" s="701">
        <f>IF(ISNUMBER(J18/J15),J18/J15,"n.a.")</f>
        <v>0.36245784083359145</v>
      </c>
      <c r="K29" s="701">
        <f>IF(ISNUMBER(K18/K15),K18/K15,"n.a.")</f>
        <v>0.2623152172848684</v>
      </c>
      <c r="L29" s="701">
        <f>IF(ISNUMBER(L18/L15),L18/L15,"n.a.")</f>
        <v>0.36256148806784616</v>
      </c>
      <c r="M29" s="702">
        <f>IF(ISNUMBER(M18/M15),M18/M15,"n.a.")</f>
        <v>0.48703923082983586</v>
      </c>
    </row>
    <row r="30" spans="1:13" ht="12" customHeight="1" x14ac:dyDescent="0.2">
      <c r="A30" s="661"/>
      <c r="B30" s="671" t="s">
        <v>25</v>
      </c>
      <c r="C30" s="671"/>
      <c r="D30" s="671"/>
      <c r="E30" s="672"/>
      <c r="F30" s="642"/>
      <c r="G30" s="688">
        <f>SUMPRODUCT(I30:M30,I$16:M$16)</f>
        <v>0.72297745479875242</v>
      </c>
      <c r="H30" s="642"/>
      <c r="I30" s="703">
        <f>IF(ISNUMBER(I18/(I39+I63)),I18/(I39+I63),"n.a.")</f>
        <v>0.73261934171189647</v>
      </c>
      <c r="J30" s="704">
        <f>IF(ISNUMBER(J18/(J39+J63)),J18/(J39+J63),"n.a.")</f>
        <v>0.73325984977773195</v>
      </c>
      <c r="K30" s="704">
        <f>IF(ISNUMBER(K18/(K39+K63)),K18/(K39+K63),"n.a.")</f>
        <v>0.30622245896608574</v>
      </c>
      <c r="L30" s="704">
        <f>IF(ISNUMBER(L18/(L39+L63)),L18/(L39+L63),"n.a.")</f>
        <v>0.82182263487984353</v>
      </c>
      <c r="M30" s="705">
        <f>IF(ISNUMBER(M18/(M39+M63)),M18/(M39+M63),"n.a.")</f>
        <v>1.0106708098597985</v>
      </c>
    </row>
    <row r="31" spans="1:13" ht="12" customHeight="1" x14ac:dyDescent="0.2">
      <c r="A31" s="661"/>
      <c r="B31" s="671" t="s">
        <v>71</v>
      </c>
      <c r="C31" s="671"/>
      <c r="D31" s="671"/>
      <c r="E31" s="672"/>
      <c r="F31" s="642"/>
      <c r="G31" s="688">
        <f>SUMPRODUCT(I31:M31,I$16:M$16)</f>
        <v>0.55918919360660635</v>
      </c>
      <c r="H31" s="642"/>
      <c r="I31" s="703">
        <f>IF(ISNUMBER(I39/I15),I39/I15,"n.a.")</f>
        <v>0.17543026826115038</v>
      </c>
      <c r="J31" s="704">
        <f>IF(ISNUMBER(J38/J15),J38/J15,"n.a.")</f>
        <v>0.68492528318288004</v>
      </c>
      <c r="K31" s="704">
        <f>IF(ISNUMBER(K38/K15),K38/K15,"n.a.")</f>
        <v>0.85800207878353596</v>
      </c>
      <c r="L31" s="704">
        <f>IF(ISNUMBER(L38/L15),L38/L15,"n.a.")</f>
        <v>0.61430379331229323</v>
      </c>
      <c r="M31" s="705">
        <f>IF(ISNUMBER(M38/M15),M38/M15,"n.a.")</f>
        <v>0.48026207330853565</v>
      </c>
    </row>
    <row r="32" spans="1:13" ht="12" customHeight="1" x14ac:dyDescent="0.2">
      <c r="A32" s="661"/>
      <c r="B32" s="671" t="s">
        <v>41</v>
      </c>
      <c r="C32" s="671"/>
      <c r="D32" s="671"/>
      <c r="E32" s="672"/>
      <c r="F32" s="642"/>
      <c r="G32" s="706"/>
      <c r="H32" s="642"/>
      <c r="I32" s="703">
        <f>IF(ISNUMBER(I48/I15),I48/I15,"n.a.")</f>
        <v>0.33910204506301511</v>
      </c>
      <c r="J32" s="704">
        <f>IF(ISNUMBER(J48/J15),J48/J15,"n.a.")</f>
        <v>0.37698918984780505</v>
      </c>
      <c r="K32" s="704">
        <f>IF(ISNUMBER(K48/K15),K48/K15,"n.a.")</f>
        <v>0.38921281380580297</v>
      </c>
      <c r="L32" s="704">
        <f>IF(ISNUMBER(L48/L15),L48/L15,"n.a.")</f>
        <v>0.32857471616461392</v>
      </c>
      <c r="M32" s="705">
        <f>IF(ISNUMBER(M48/M15),M48/M15,"n.a.")</f>
        <v>0.31404262522292786</v>
      </c>
    </row>
    <row r="33" spans="1:13" ht="12" customHeight="1" x14ac:dyDescent="0.2">
      <c r="A33" s="661"/>
      <c r="B33" s="671" t="s">
        <v>72</v>
      </c>
      <c r="C33" s="671"/>
      <c r="D33" s="671"/>
      <c r="E33" s="672"/>
      <c r="F33" s="642"/>
      <c r="G33" s="706"/>
      <c r="H33" s="642"/>
      <c r="I33" s="703">
        <f>IF(ISNUMBER(I59/I15),I59/I15,"n.a.")</f>
        <v>3.1431519397203518E-2</v>
      </c>
      <c r="J33" s="704">
        <f>IF(ISNUMBER(J59/J15),J59/J15,"n.a.")</f>
        <v>2.4973865543705048E-2</v>
      </c>
      <c r="K33" s="704">
        <f>IF(ISNUMBER(K59/K15),K59/K15,"n.a.")</f>
        <v>7.8666598072349315E-3</v>
      </c>
      <c r="L33" s="704">
        <f>IF(ISNUMBER(L59/L15),L59/L15,"n.a.")</f>
        <v>3.6512326807615902E-2</v>
      </c>
      <c r="M33" s="705">
        <f>IF(ISNUMBER(M59/M15),M59/M15,"n.a.")</f>
        <v>2.7632109239566653E-2</v>
      </c>
    </row>
    <row r="34" spans="1:13" ht="12" customHeight="1" x14ac:dyDescent="0.2">
      <c r="A34" s="661"/>
      <c r="B34" s="671" t="s">
        <v>73</v>
      </c>
      <c r="C34" s="671"/>
      <c r="D34" s="671"/>
      <c r="E34" s="672"/>
      <c r="F34" s="642"/>
      <c r="G34" s="694">
        <f>SUMPRODUCT(I34:M34,I$16:M$16)</f>
        <v>1.1117215126362832</v>
      </c>
      <c r="H34" s="642"/>
      <c r="I34" s="707">
        <f>IF(ISNUMBER(I19/I38),I19/I38,"n.a.")</f>
        <v>1.3170964106866059</v>
      </c>
      <c r="J34" s="708">
        <f>IF(ISNUMBER(J19/J38),J19/J38,"n.a.")</f>
        <v>0.9211857050245863</v>
      </c>
      <c r="K34" s="708">
        <f>IF(ISNUMBER(K19/K38),K19/K38,"n.a.")</f>
        <v>0.94954991822982882</v>
      </c>
      <c r="L34" s="708">
        <f>IF(ISNUMBER(L19/L38),L19/L38,"n.a.")</f>
        <v>1.2002108468736619</v>
      </c>
      <c r="M34" s="709">
        <f>IF(ISNUMBER(M19/M38),M19/M38,"n.a.")</f>
        <v>1.1622269325607397</v>
      </c>
    </row>
    <row r="35" spans="1:13" ht="12" customHeight="1" x14ac:dyDescent="0.2">
      <c r="A35" s="661"/>
      <c r="B35" s="710"/>
      <c r="C35" s="661"/>
      <c r="D35" s="661"/>
      <c r="E35" s="642"/>
      <c r="F35" s="642"/>
      <c r="G35" s="642"/>
      <c r="H35" s="642"/>
      <c r="I35" s="711"/>
      <c r="J35" s="711"/>
      <c r="K35" s="711"/>
      <c r="L35" s="711"/>
      <c r="M35" s="711"/>
    </row>
    <row r="36" spans="1:13" ht="12" customHeight="1" x14ac:dyDescent="0.2">
      <c r="A36" s="661"/>
      <c r="B36" s="710"/>
      <c r="C36" s="661"/>
      <c r="D36" s="661"/>
      <c r="E36" s="642"/>
      <c r="F36" s="642"/>
      <c r="G36" s="53" t="str">
        <f>G$4</f>
        <v>Total</v>
      </c>
      <c r="H36" s="647"/>
      <c r="I36" s="649" t="str">
        <f>$I$13</f>
        <v>IIFS1</v>
      </c>
      <c r="J36" s="649" t="str">
        <f>J$4</f>
        <v>IIFS2</v>
      </c>
      <c r="K36" s="649" t="str">
        <f>K$4</f>
        <v>IIFS3</v>
      </c>
      <c r="L36" s="649" t="str">
        <f>L$4</f>
        <v>IIFS4</v>
      </c>
      <c r="M36" s="650" t="str">
        <f>M$4</f>
        <v>IIFS5</v>
      </c>
    </row>
    <row r="37" spans="1:13" ht="12" customHeight="1" x14ac:dyDescent="0.2">
      <c r="A37" s="661"/>
      <c r="B37" s="710"/>
      <c r="C37" s="661"/>
      <c r="D37" s="661"/>
      <c r="E37" s="642"/>
      <c r="F37" s="642"/>
      <c r="G37" s="642"/>
      <c r="H37" s="711"/>
      <c r="I37" s="711"/>
      <c r="J37" s="711"/>
      <c r="K37" s="711"/>
      <c r="L37" s="711"/>
      <c r="M37" s="711"/>
    </row>
    <row r="38" spans="1:13" ht="12" customHeight="1" x14ac:dyDescent="0.2">
      <c r="A38" s="642"/>
      <c r="B38" s="671" t="s">
        <v>268</v>
      </c>
      <c r="C38" s="661"/>
      <c r="D38" s="661"/>
      <c r="E38" s="642"/>
      <c r="F38" s="642"/>
      <c r="G38" s="673">
        <f t="shared" ref="G38:G45" si="3">SUM(I38:M38)</f>
        <v>51614202.708443768</v>
      </c>
      <c r="H38" s="642"/>
      <c r="I38" s="712">
        <f>I39+I48</f>
        <v>8669524.0434581805</v>
      </c>
      <c r="J38" s="713">
        <f>J39+J48</f>
        <v>11332702.996863559</v>
      </c>
      <c r="K38" s="713">
        <f>K39+K48</f>
        <v>13682818.30219198</v>
      </c>
      <c r="L38" s="713">
        <f>L39+L48</f>
        <v>10103551.414809421</v>
      </c>
      <c r="M38" s="714">
        <f>M39+M48</f>
        <v>7825605.9511206308</v>
      </c>
    </row>
    <row r="39" spans="1:13" ht="12" customHeight="1" x14ac:dyDescent="0.2">
      <c r="A39" s="642"/>
      <c r="B39" s="642"/>
      <c r="C39" s="715" t="s">
        <v>42</v>
      </c>
      <c r="D39" s="716"/>
      <c r="E39" s="717"/>
      <c r="F39" s="642"/>
      <c r="G39" s="681">
        <f t="shared" si="3"/>
        <v>22934770.608443771</v>
      </c>
      <c r="H39" s="642"/>
      <c r="I39" s="718">
        <f>I40+I43</f>
        <v>2955882.2434581802</v>
      </c>
      <c r="J39" s="719">
        <f t="shared" ref="J39:L39" si="4">J40+J43</f>
        <v>5095078.7968635596</v>
      </c>
      <c r="K39" s="719">
        <f t="shared" si="4"/>
        <v>7475924.0021919804</v>
      </c>
      <c r="L39" s="719">
        <f t="shared" si="4"/>
        <v>4699431.2148094196</v>
      </c>
      <c r="M39" s="720">
        <f>M40+M43</f>
        <v>2708454.3511206312</v>
      </c>
    </row>
    <row r="40" spans="1:13" ht="12" customHeight="1" x14ac:dyDescent="0.2">
      <c r="A40" s="642"/>
      <c r="B40" s="642"/>
      <c r="C40" s="721"/>
      <c r="D40" s="722" t="s">
        <v>43</v>
      </c>
      <c r="E40" s="723"/>
      <c r="F40" s="642"/>
      <c r="G40" s="681">
        <f t="shared" si="3"/>
        <v>13760862.365066262</v>
      </c>
      <c r="H40" s="642"/>
      <c r="I40" s="724">
        <f>I41+I42</f>
        <v>1773529.346074908</v>
      </c>
      <c r="J40" s="725">
        <f t="shared" ref="J40:L40" si="5">J41+J42</f>
        <v>3057047.2781181359</v>
      </c>
      <c r="K40" s="725">
        <f t="shared" si="5"/>
        <v>4485554.401315188</v>
      </c>
      <c r="L40" s="725">
        <f t="shared" si="5"/>
        <v>2819658.7288856516</v>
      </c>
      <c r="M40" s="726">
        <f>M41+M42</f>
        <v>1625072.6106723789</v>
      </c>
    </row>
    <row r="41" spans="1:13" ht="10.9" customHeight="1" x14ac:dyDescent="0.2">
      <c r="A41" s="642"/>
      <c r="B41" s="642"/>
      <c r="C41" s="721"/>
      <c r="D41" s="722"/>
      <c r="E41" s="723" t="s">
        <v>54</v>
      </c>
      <c r="F41" s="661"/>
      <c r="G41" s="681">
        <f t="shared" si="3"/>
        <v>2752172.4730132525</v>
      </c>
      <c r="H41" s="661"/>
      <c r="I41" s="727">
        <v>354705.86921498162</v>
      </c>
      <c r="J41" s="728">
        <v>611409.45562362717</v>
      </c>
      <c r="K41" s="728">
        <v>897110.88026303763</v>
      </c>
      <c r="L41" s="728">
        <v>563931.74577713036</v>
      </c>
      <c r="M41" s="729">
        <v>325014.52213447576</v>
      </c>
    </row>
    <row r="42" spans="1:13" ht="12" customHeight="1" x14ac:dyDescent="0.2">
      <c r="A42" s="642"/>
      <c r="B42" s="642"/>
      <c r="C42" s="721"/>
      <c r="D42" s="722"/>
      <c r="E42" s="723" t="s">
        <v>55</v>
      </c>
      <c r="F42" s="661"/>
      <c r="G42" s="681">
        <f t="shared" si="3"/>
        <v>11008689.89205301</v>
      </c>
      <c r="H42" s="661"/>
      <c r="I42" s="727">
        <v>1418823.4768599265</v>
      </c>
      <c r="J42" s="728">
        <v>2445637.8224945087</v>
      </c>
      <c r="K42" s="728">
        <v>3588443.5210521505</v>
      </c>
      <c r="L42" s="728">
        <v>2255726.9831085214</v>
      </c>
      <c r="M42" s="729">
        <v>1300058.088537903</v>
      </c>
    </row>
    <row r="43" spans="1:13" ht="12" customHeight="1" x14ac:dyDescent="0.2">
      <c r="A43" s="642"/>
      <c r="B43" s="642"/>
      <c r="C43" s="721"/>
      <c r="D43" s="722" t="s">
        <v>45</v>
      </c>
      <c r="E43" s="723"/>
      <c r="F43" s="661"/>
      <c r="G43" s="681">
        <f t="shared" si="3"/>
        <v>9173908.2433775086</v>
      </c>
      <c r="H43" s="661"/>
      <c r="I43" s="724">
        <f>I44+I45</f>
        <v>1182352.8973832722</v>
      </c>
      <c r="J43" s="725">
        <f t="shared" ref="J43:M43" si="6">J44+J45</f>
        <v>2038031.5187454242</v>
      </c>
      <c r="K43" s="725">
        <f t="shared" si="6"/>
        <v>2990369.6008767923</v>
      </c>
      <c r="L43" s="725">
        <f t="shared" si="6"/>
        <v>1879772.485923768</v>
      </c>
      <c r="M43" s="726">
        <f t="shared" si="6"/>
        <v>1083381.7404482525</v>
      </c>
    </row>
    <row r="44" spans="1:13" ht="12.6" customHeight="1" x14ac:dyDescent="0.2">
      <c r="A44" s="642"/>
      <c r="B44" s="642"/>
      <c r="C44" s="721"/>
      <c r="D44" s="722"/>
      <c r="E44" s="723" t="s">
        <v>54</v>
      </c>
      <c r="F44" s="661"/>
      <c r="G44" s="681">
        <f t="shared" si="3"/>
        <v>1834781.6486755018</v>
      </c>
      <c r="H44" s="661"/>
      <c r="I44" s="727">
        <v>236470.57947665444</v>
      </c>
      <c r="J44" s="728">
        <v>407606.30374908482</v>
      </c>
      <c r="K44" s="728">
        <v>598073.92017535854</v>
      </c>
      <c r="L44" s="728">
        <v>375954.49718475365</v>
      </c>
      <c r="M44" s="729">
        <v>216676.34808965051</v>
      </c>
    </row>
    <row r="45" spans="1:13" ht="12.75" x14ac:dyDescent="0.2">
      <c r="A45" s="642"/>
      <c r="B45" s="642"/>
      <c r="C45" s="721"/>
      <c r="D45" s="722"/>
      <c r="E45" s="723" t="s">
        <v>55</v>
      </c>
      <c r="F45" s="661"/>
      <c r="G45" s="681">
        <f t="shared" si="3"/>
        <v>7339126.5947020072</v>
      </c>
      <c r="H45" s="661"/>
      <c r="I45" s="727">
        <v>945882.31790661777</v>
      </c>
      <c r="J45" s="728">
        <v>1630425.2149963393</v>
      </c>
      <c r="K45" s="728">
        <v>2392295.6807014337</v>
      </c>
      <c r="L45" s="728">
        <v>1503817.9887390144</v>
      </c>
      <c r="M45" s="729">
        <v>866705.39235860202</v>
      </c>
    </row>
    <row r="46" spans="1:13" ht="12.75" x14ac:dyDescent="0.2">
      <c r="A46" s="642"/>
      <c r="B46" s="642"/>
      <c r="C46" s="730"/>
      <c r="D46" s="731"/>
      <c r="E46" s="732"/>
      <c r="F46" s="661"/>
      <c r="G46" s="733">
        <f t="shared" ref="G46" si="7">SUM(I46:M46)</f>
        <v>0</v>
      </c>
      <c r="H46" s="661"/>
      <c r="I46" s="734"/>
      <c r="J46" s="735"/>
      <c r="K46" s="735"/>
      <c r="L46" s="735"/>
      <c r="M46" s="736"/>
    </row>
    <row r="47" spans="1:13" s="8" customFormat="1" ht="13.5" customHeight="1" x14ac:dyDescent="0.2">
      <c r="A47" s="711"/>
      <c r="B47" s="711"/>
      <c r="C47" s="711"/>
      <c r="D47" s="711"/>
      <c r="E47" s="737"/>
      <c r="F47" s="737"/>
      <c r="G47" s="711"/>
      <c r="H47" s="737"/>
      <c r="I47" s="711"/>
      <c r="J47" s="711"/>
      <c r="K47" s="711"/>
      <c r="L47" s="711"/>
      <c r="M47" s="711"/>
    </row>
    <row r="48" spans="1:13" ht="12" customHeight="1" x14ac:dyDescent="0.2">
      <c r="A48" s="642"/>
      <c r="B48" s="642"/>
      <c r="C48" s="715" t="s">
        <v>167</v>
      </c>
      <c r="D48" s="716"/>
      <c r="E48" s="717"/>
      <c r="F48" s="661"/>
      <c r="G48" s="673">
        <f>G49+G52</f>
        <v>28679432.100000001</v>
      </c>
      <c r="H48" s="642"/>
      <c r="I48" s="738">
        <f>+I49+I52</f>
        <v>5713641.7999999998</v>
      </c>
      <c r="J48" s="739">
        <f>+J49+J52</f>
        <v>6237624.2000000002</v>
      </c>
      <c r="K48" s="739">
        <f>+K49+K52</f>
        <v>6206894.2999999998</v>
      </c>
      <c r="L48" s="739">
        <f>+L49+L52</f>
        <v>5404120.2000000002</v>
      </c>
      <c r="M48" s="740">
        <f>+M49+M52</f>
        <v>5117151.5999999996</v>
      </c>
    </row>
    <row r="49" spans="1:13" ht="12" customHeight="1" x14ac:dyDescent="0.2">
      <c r="A49" s="642"/>
      <c r="B49" s="661"/>
      <c r="C49" s="721"/>
      <c r="D49" s="722" t="s">
        <v>440</v>
      </c>
      <c r="E49" s="723"/>
      <c r="F49" s="642"/>
      <c r="G49" s="681">
        <f>SUM(I49:M49)</f>
        <v>9592602</v>
      </c>
      <c r="H49" s="642"/>
      <c r="I49" s="741">
        <v>2199419</v>
      </c>
      <c r="J49" s="742">
        <v>2686470</v>
      </c>
      <c r="K49" s="742">
        <v>1442448</v>
      </c>
      <c r="L49" s="742">
        <v>2221110</v>
      </c>
      <c r="M49" s="743">
        <v>1043155</v>
      </c>
    </row>
    <row r="50" spans="1:13" ht="12" customHeight="1" x14ac:dyDescent="0.2">
      <c r="A50" s="642"/>
      <c r="B50" s="661"/>
      <c r="C50" s="721"/>
      <c r="D50" s="722"/>
      <c r="E50" s="723" t="s">
        <v>54</v>
      </c>
      <c r="F50" s="642"/>
      <c r="G50" s="681"/>
      <c r="H50" s="642"/>
      <c r="I50" s="727">
        <f>0.3*I49</f>
        <v>659825.69999999995</v>
      </c>
      <c r="J50" s="728">
        <f>0.3*J49</f>
        <v>805941</v>
      </c>
      <c r="K50" s="728">
        <f>0.3*K49</f>
        <v>432734.39999999997</v>
      </c>
      <c r="L50" s="728">
        <f>0.3*L49</f>
        <v>666333</v>
      </c>
      <c r="M50" s="729">
        <f>0.3*M49</f>
        <v>312946.5</v>
      </c>
    </row>
    <row r="51" spans="1:13" ht="12.75" x14ac:dyDescent="0.2">
      <c r="A51" s="642"/>
      <c r="B51" s="661"/>
      <c r="C51" s="721"/>
      <c r="D51" s="722"/>
      <c r="E51" s="723" t="s">
        <v>55</v>
      </c>
      <c r="F51" s="642"/>
      <c r="G51" s="681"/>
      <c r="H51" s="642"/>
      <c r="I51" s="727">
        <f>+I49-I50</f>
        <v>1539593.3</v>
      </c>
      <c r="J51" s="728">
        <f>+J49-J50</f>
        <v>1880529</v>
      </c>
      <c r="K51" s="728">
        <f>+K49-K50</f>
        <v>1009713.6000000001</v>
      </c>
      <c r="L51" s="728">
        <f>+L49-L50</f>
        <v>1554777</v>
      </c>
      <c r="M51" s="729">
        <f>+M49-M50</f>
        <v>730208.5</v>
      </c>
    </row>
    <row r="52" spans="1:13" ht="12.75" x14ac:dyDescent="0.2">
      <c r="A52" s="642"/>
      <c r="B52" s="661"/>
      <c r="C52" s="721"/>
      <c r="D52" s="722" t="s">
        <v>45</v>
      </c>
      <c r="E52" s="723"/>
      <c r="F52" s="642"/>
      <c r="G52" s="681">
        <f>SUM(I52:M52)</f>
        <v>19086830.100000001</v>
      </c>
      <c r="H52" s="642"/>
      <c r="I52" s="744">
        <f>+SUM(I53:I57)</f>
        <v>3514222.8</v>
      </c>
      <c r="J52" s="744">
        <f>+SUM(J53:J57)</f>
        <v>3551154.2</v>
      </c>
      <c r="K52" s="744">
        <f>+SUM(K53:K57)</f>
        <v>4764446.3</v>
      </c>
      <c r="L52" s="744">
        <f>+SUM(L53:L57)</f>
        <v>3183010.2</v>
      </c>
      <c r="M52" s="744">
        <f>+SUM(M53:M57)</f>
        <v>4073996.6</v>
      </c>
    </row>
    <row r="53" spans="1:13" ht="12" customHeight="1" x14ac:dyDescent="0.2">
      <c r="A53" s="642"/>
      <c r="B53" s="661"/>
      <c r="C53" s="721"/>
      <c r="D53" s="722"/>
      <c r="E53" s="723" t="s">
        <v>56</v>
      </c>
      <c r="F53" s="642"/>
      <c r="G53" s="681"/>
      <c r="H53" s="642"/>
      <c r="I53" s="727">
        <v>810902</v>
      </c>
      <c r="J53" s="728">
        <v>990835.19999999995</v>
      </c>
      <c r="K53" s="728">
        <v>2006791.6</v>
      </c>
      <c r="L53" s="728">
        <v>915377.60000000009</v>
      </c>
      <c r="M53" s="729">
        <v>1446904.8</v>
      </c>
    </row>
    <row r="54" spans="1:13" ht="12" customHeight="1" x14ac:dyDescent="0.2">
      <c r="A54" s="642"/>
      <c r="B54" s="661"/>
      <c r="C54" s="721"/>
      <c r="D54" s="722"/>
      <c r="E54" s="723" t="s">
        <v>57</v>
      </c>
      <c r="F54" s="642"/>
      <c r="G54" s="681"/>
      <c r="H54" s="642"/>
      <c r="I54" s="727">
        <v>270947</v>
      </c>
      <c r="J54" s="728">
        <v>347628</v>
      </c>
      <c r="K54" s="728">
        <v>378254</v>
      </c>
      <c r="L54" s="728">
        <v>228844.40000000002</v>
      </c>
      <c r="M54" s="729">
        <v>361726.2</v>
      </c>
    </row>
    <row r="55" spans="1:13" ht="12" customHeight="1" x14ac:dyDescent="0.2">
      <c r="A55" s="642"/>
      <c r="B55" s="661"/>
      <c r="C55" s="721"/>
      <c r="D55" s="722"/>
      <c r="E55" s="723" t="s">
        <v>58</v>
      </c>
      <c r="F55" s="642"/>
      <c r="G55" s="681"/>
      <c r="H55" s="642"/>
      <c r="I55" s="727">
        <v>313988.40000000002</v>
      </c>
      <c r="J55" s="728">
        <v>123749</v>
      </c>
      <c r="K55" s="728">
        <v>258840</v>
      </c>
      <c r="L55" s="728">
        <v>114422.20000000001</v>
      </c>
      <c r="M55" s="729">
        <v>180452</v>
      </c>
    </row>
    <row r="56" spans="1:13" ht="12.75" x14ac:dyDescent="0.2">
      <c r="A56" s="642"/>
      <c r="B56" s="661"/>
      <c r="C56" s="721"/>
      <c r="D56" s="722"/>
      <c r="E56" s="745" t="s">
        <v>59</v>
      </c>
      <c r="F56" s="642"/>
      <c r="G56" s="681"/>
      <c r="H56" s="642"/>
      <c r="I56" s="727">
        <v>883930.4</v>
      </c>
      <c r="J56" s="728">
        <v>1012376</v>
      </c>
      <c r="K56" s="728">
        <v>1133093.7</v>
      </c>
      <c r="L56" s="728">
        <v>1026800</v>
      </c>
      <c r="M56" s="729">
        <v>1628178.6</v>
      </c>
    </row>
    <row r="57" spans="1:13" ht="12" customHeight="1" x14ac:dyDescent="0.2">
      <c r="A57" s="642"/>
      <c r="B57" s="661"/>
      <c r="C57" s="730"/>
      <c r="D57" s="731"/>
      <c r="E57" s="732" t="s">
        <v>60</v>
      </c>
      <c r="F57" s="642"/>
      <c r="G57" s="733"/>
      <c r="H57" s="642"/>
      <c r="I57" s="734">
        <v>1234455</v>
      </c>
      <c r="J57" s="735">
        <v>1076566</v>
      </c>
      <c r="K57" s="735">
        <v>987467</v>
      </c>
      <c r="L57" s="735">
        <v>897566</v>
      </c>
      <c r="M57" s="736">
        <v>456735</v>
      </c>
    </row>
    <row r="58" spans="1:13" ht="12" customHeight="1" x14ac:dyDescent="0.2">
      <c r="A58" s="642"/>
      <c r="B58" s="661"/>
      <c r="C58" s="642"/>
      <c r="D58" s="642"/>
      <c r="E58" s="642"/>
      <c r="F58" s="642"/>
      <c r="G58" s="10"/>
      <c r="H58" s="10"/>
      <c r="I58" s="10"/>
      <c r="J58" s="10"/>
      <c r="K58" s="10"/>
      <c r="L58" s="10"/>
      <c r="M58" s="10"/>
    </row>
    <row r="59" spans="1:13" ht="12" customHeight="1" x14ac:dyDescent="0.2">
      <c r="A59" s="642"/>
      <c r="B59" s="671" t="s">
        <v>61</v>
      </c>
      <c r="C59" s="661"/>
      <c r="D59" s="642"/>
      <c r="E59" s="642"/>
      <c r="F59" s="661"/>
      <c r="G59" s="673">
        <f>SUM(I59:M59)</f>
        <v>2119041</v>
      </c>
      <c r="H59" s="642"/>
      <c r="I59" s="746">
        <v>529600</v>
      </c>
      <c r="J59" s="747">
        <v>413215</v>
      </c>
      <c r="K59" s="747">
        <v>125452</v>
      </c>
      <c r="L59" s="747">
        <v>600524</v>
      </c>
      <c r="M59" s="748">
        <v>450250</v>
      </c>
    </row>
    <row r="60" spans="1:13" ht="12" customHeight="1" x14ac:dyDescent="0.2">
      <c r="A60" s="661"/>
      <c r="B60" s="661"/>
      <c r="C60" s="715" t="s">
        <v>269</v>
      </c>
      <c r="D60" s="716"/>
      <c r="E60" s="717"/>
      <c r="F60" s="661"/>
      <c r="G60" s="681">
        <f t="shared" ref="G60:G61" si="8">SUM(I60:M60)</f>
        <v>21190.41</v>
      </c>
      <c r="H60" s="642"/>
      <c r="I60" s="749">
        <v>5296</v>
      </c>
      <c r="J60" s="750">
        <v>4132.1499999999996</v>
      </c>
      <c r="K60" s="750">
        <v>1254.52</v>
      </c>
      <c r="L60" s="750">
        <v>6005.24</v>
      </c>
      <c r="M60" s="751">
        <v>4502.5</v>
      </c>
    </row>
    <row r="61" spans="1:13" ht="12" customHeight="1" x14ac:dyDescent="0.2">
      <c r="A61" s="661"/>
      <c r="B61" s="661"/>
      <c r="C61" s="752" t="s">
        <v>270</v>
      </c>
      <c r="D61" s="731"/>
      <c r="E61" s="732"/>
      <c r="F61" s="661"/>
      <c r="G61" s="733">
        <f t="shared" si="8"/>
        <v>211904.1</v>
      </c>
      <c r="H61" s="642"/>
      <c r="I61" s="753">
        <v>52960</v>
      </c>
      <c r="J61" s="754">
        <v>41321.5</v>
      </c>
      <c r="K61" s="754">
        <v>12545.2</v>
      </c>
      <c r="L61" s="754">
        <v>60052.4</v>
      </c>
      <c r="M61" s="755">
        <v>45025</v>
      </c>
    </row>
    <row r="62" spans="1:13" ht="12" customHeight="1" x14ac:dyDescent="0.2">
      <c r="A62" s="661"/>
      <c r="B62" s="661"/>
      <c r="C62" s="642"/>
      <c r="D62" s="642"/>
      <c r="E62" s="661"/>
      <c r="F62" s="661"/>
      <c r="G62" s="756"/>
      <c r="H62" s="642"/>
      <c r="I62" s="711"/>
      <c r="J62" s="711"/>
      <c r="K62" s="711"/>
      <c r="L62" s="711"/>
      <c r="M62" s="711"/>
    </row>
    <row r="63" spans="1:13" ht="12.75" x14ac:dyDescent="0.2">
      <c r="A63" s="661"/>
      <c r="B63" s="671" t="s">
        <v>44</v>
      </c>
      <c r="C63" s="661"/>
      <c r="D63" s="661"/>
      <c r="E63" s="642"/>
      <c r="F63" s="642"/>
      <c r="G63" s="673">
        <f>SUM(G64:G71)</f>
        <v>22613418.628675736</v>
      </c>
      <c r="H63" s="642"/>
      <c r="I63" s="712">
        <f>I64+I71</f>
        <v>5644580.0174437761</v>
      </c>
      <c r="J63" s="713">
        <f>J64+J71</f>
        <v>3083727.12278128</v>
      </c>
      <c r="K63" s="713">
        <f>K64+K71</f>
        <v>6184798.3828480197</v>
      </c>
      <c r="L63" s="713">
        <f>L64+L71</f>
        <v>2556521.282619481</v>
      </c>
      <c r="M63" s="714">
        <f>M64+M71</f>
        <v>5143791.8229831774</v>
      </c>
    </row>
    <row r="64" spans="1:13" ht="12.75" x14ac:dyDescent="0.2">
      <c r="A64" s="661"/>
      <c r="B64" s="661"/>
      <c r="C64" s="757" t="s">
        <v>52</v>
      </c>
      <c r="D64" s="716"/>
      <c r="E64" s="717"/>
      <c r="F64" s="642"/>
      <c r="G64" s="681">
        <f>SUM(I64:M64)</f>
        <v>568019</v>
      </c>
      <c r="H64" s="642"/>
      <c r="I64" s="744">
        <f>+I65+I66</f>
        <v>14568</v>
      </c>
      <c r="J64" s="758">
        <f t="shared" ref="J64:M64" si="9">+J65+J66</f>
        <v>94935</v>
      </c>
      <c r="K64" s="758">
        <f t="shared" si="9"/>
        <v>107912</v>
      </c>
      <c r="L64" s="758">
        <f t="shared" si="9"/>
        <v>21594</v>
      </c>
      <c r="M64" s="759">
        <f t="shared" si="9"/>
        <v>329010</v>
      </c>
    </row>
    <row r="65" spans="1:13" ht="12" customHeight="1" x14ac:dyDescent="0.2">
      <c r="A65" s="661"/>
      <c r="B65" s="661"/>
      <c r="C65" s="721"/>
      <c r="D65" s="722"/>
      <c r="E65" s="723" t="s">
        <v>46</v>
      </c>
      <c r="F65" s="642"/>
      <c r="G65" s="681"/>
      <c r="H65" s="642"/>
      <c r="I65" s="727">
        <v>8976</v>
      </c>
      <c r="J65" s="728">
        <v>75765</v>
      </c>
      <c r="K65" s="728">
        <v>100765</v>
      </c>
      <c r="L65" s="728">
        <v>15667</v>
      </c>
      <c r="M65" s="729">
        <v>127885</v>
      </c>
    </row>
    <row r="66" spans="1:13" ht="12" customHeight="1" x14ac:dyDescent="0.2">
      <c r="A66" s="661"/>
      <c r="B66" s="661"/>
      <c r="C66" s="721"/>
      <c r="D66" s="722"/>
      <c r="E66" s="723" t="s">
        <v>47</v>
      </c>
      <c r="F66" s="642"/>
      <c r="G66" s="681"/>
      <c r="H66" s="642"/>
      <c r="I66" s="727">
        <v>5592</v>
      </c>
      <c r="J66" s="728">
        <v>19170</v>
      </c>
      <c r="K66" s="728">
        <v>7147</v>
      </c>
      <c r="L66" s="728">
        <v>5927</v>
      </c>
      <c r="M66" s="729">
        <v>201125</v>
      </c>
    </row>
    <row r="67" spans="1:13" ht="38.25" x14ac:dyDescent="0.2">
      <c r="A67" s="661"/>
      <c r="B67" s="661"/>
      <c r="C67" s="721"/>
      <c r="D67" s="722"/>
      <c r="E67" s="745" t="s">
        <v>48</v>
      </c>
      <c r="F67" s="642"/>
      <c r="G67" s="681"/>
      <c r="H67" s="642"/>
      <c r="I67" s="727"/>
      <c r="J67" s="728"/>
      <c r="K67" s="728"/>
      <c r="L67" s="728"/>
      <c r="M67" s="729"/>
    </row>
    <row r="68" spans="1:13" ht="25.5" x14ac:dyDescent="0.2">
      <c r="A68" s="661"/>
      <c r="B68" s="661"/>
      <c r="C68" s="721"/>
      <c r="D68" s="722"/>
      <c r="E68" s="745" t="s">
        <v>424</v>
      </c>
      <c r="F68" s="642"/>
      <c r="G68" s="681"/>
      <c r="H68" s="642"/>
      <c r="I68" s="727"/>
      <c r="J68" s="728"/>
      <c r="K68" s="728"/>
      <c r="L68" s="728"/>
      <c r="M68" s="729"/>
    </row>
    <row r="69" spans="1:13" ht="12" customHeight="1" x14ac:dyDescent="0.2">
      <c r="A69" s="661"/>
      <c r="B69" s="661"/>
      <c r="C69" s="721"/>
      <c r="D69" s="722"/>
      <c r="E69" s="745" t="s">
        <v>4</v>
      </c>
      <c r="F69" s="642"/>
      <c r="G69" s="681"/>
      <c r="H69" s="642"/>
      <c r="I69" s="727"/>
      <c r="J69" s="728"/>
      <c r="K69" s="728"/>
      <c r="L69" s="728"/>
      <c r="M69" s="729"/>
    </row>
    <row r="70" spans="1:13" ht="12" customHeight="1" x14ac:dyDescent="0.2">
      <c r="A70" s="661"/>
      <c r="B70" s="661"/>
      <c r="C70" s="721"/>
      <c r="D70" s="722"/>
      <c r="E70" s="723" t="s">
        <v>51</v>
      </c>
      <c r="F70" s="642"/>
      <c r="G70" s="681"/>
      <c r="H70" s="642"/>
      <c r="I70" s="727"/>
      <c r="J70" s="728"/>
      <c r="K70" s="728"/>
      <c r="L70" s="728"/>
      <c r="M70" s="729"/>
    </row>
    <row r="71" spans="1:13" ht="12.75" x14ac:dyDescent="0.2">
      <c r="A71" s="661"/>
      <c r="B71" s="661"/>
      <c r="C71" s="730" t="s">
        <v>53</v>
      </c>
      <c r="D71" s="731"/>
      <c r="E71" s="732"/>
      <c r="F71" s="642"/>
      <c r="G71" s="733">
        <f>SUM(I71:M71)</f>
        <v>22045399.628675736</v>
      </c>
      <c r="H71" s="642"/>
      <c r="I71" s="760">
        <v>5630012.0174437761</v>
      </c>
      <c r="J71" s="761">
        <v>2988792.12278128</v>
      </c>
      <c r="K71" s="761">
        <v>6076886.3828480197</v>
      </c>
      <c r="L71" s="761">
        <v>2534927.282619481</v>
      </c>
      <c r="M71" s="762">
        <v>4814781.8229831774</v>
      </c>
    </row>
    <row r="72" spans="1:13" ht="12" customHeight="1" x14ac:dyDescent="0.2">
      <c r="A72" s="642"/>
      <c r="B72" s="661"/>
      <c r="C72" s="756"/>
      <c r="D72" s="642"/>
      <c r="E72" s="661"/>
      <c r="F72" s="642"/>
      <c r="G72" s="661"/>
      <c r="H72" s="642"/>
      <c r="I72" s="642"/>
      <c r="J72" s="642"/>
      <c r="K72" s="642"/>
      <c r="L72" s="642"/>
      <c r="M72" s="642"/>
    </row>
    <row r="73" spans="1:13" ht="12" customHeight="1" x14ac:dyDescent="0.2">
      <c r="A73" s="642"/>
      <c r="B73" s="671" t="s">
        <v>26</v>
      </c>
      <c r="C73" s="671"/>
      <c r="D73" s="671"/>
      <c r="E73" s="642"/>
      <c r="F73" s="642"/>
      <c r="G73" s="763">
        <f>SUM(I73:M73)</f>
        <v>0</v>
      </c>
      <c r="H73" s="642"/>
      <c r="I73" s="764">
        <v>0</v>
      </c>
      <c r="J73" s="765">
        <v>0</v>
      </c>
      <c r="K73" s="765">
        <v>0</v>
      </c>
      <c r="L73" s="765">
        <v>0</v>
      </c>
      <c r="M73" s="766">
        <v>0</v>
      </c>
    </row>
    <row r="74" spans="1:13" ht="12" customHeight="1" x14ac:dyDescent="0.2">
      <c r="A74" s="642"/>
      <c r="B74" s="671"/>
      <c r="C74" s="671"/>
      <c r="D74" s="671"/>
      <c r="E74" s="642"/>
      <c r="F74" s="642"/>
      <c r="G74" s="642"/>
      <c r="H74" s="642"/>
      <c r="I74" s="642"/>
      <c r="J74" s="642"/>
      <c r="K74" s="642"/>
      <c r="L74" s="642"/>
      <c r="M74" s="642"/>
    </row>
    <row r="75" spans="1:13" ht="12" customHeight="1" x14ac:dyDescent="0.2">
      <c r="A75" s="642"/>
      <c r="B75" s="671" t="s">
        <v>27</v>
      </c>
      <c r="C75" s="671"/>
      <c r="D75" s="671"/>
      <c r="E75" s="642"/>
      <c r="F75" s="642"/>
      <c r="G75" s="763">
        <f>SUM(I75:M75)</f>
        <v>0</v>
      </c>
      <c r="H75" s="642"/>
      <c r="I75" s="764">
        <v>0</v>
      </c>
      <c r="J75" s="765">
        <v>0</v>
      </c>
      <c r="K75" s="765">
        <v>0</v>
      </c>
      <c r="L75" s="765">
        <v>0</v>
      </c>
      <c r="M75" s="766">
        <v>0</v>
      </c>
    </row>
    <row r="76" spans="1:13" ht="12.75" x14ac:dyDescent="0.2">
      <c r="A76" s="642"/>
      <c r="B76" s="661"/>
      <c r="C76" s="756"/>
      <c r="D76" s="642"/>
      <c r="E76" s="661"/>
      <c r="F76" s="642"/>
      <c r="G76" s="756"/>
      <c r="H76" s="642"/>
      <c r="I76" s="642"/>
      <c r="J76" s="642"/>
      <c r="K76" s="642"/>
      <c r="L76" s="642"/>
      <c r="M76" s="642"/>
    </row>
    <row r="77" spans="1:13" ht="13.5" customHeight="1" x14ac:dyDescent="0.2">
      <c r="A77" s="642"/>
      <c r="B77" s="671" t="s">
        <v>176</v>
      </c>
      <c r="C77" s="756"/>
      <c r="D77" s="642"/>
      <c r="E77" s="661"/>
      <c r="F77" s="642"/>
      <c r="G77" s="673">
        <f>SUM(I77:M77)</f>
        <v>5481171</v>
      </c>
      <c r="H77" s="642"/>
      <c r="I77" s="767">
        <f>+I78+I79</f>
        <v>619801</v>
      </c>
      <c r="J77" s="768">
        <f t="shared" ref="J77:M77" si="10">+J78+J79</f>
        <v>944451</v>
      </c>
      <c r="K77" s="768">
        <f t="shared" si="10"/>
        <v>1298261</v>
      </c>
      <c r="L77" s="768">
        <f t="shared" si="10"/>
        <v>1993290</v>
      </c>
      <c r="M77" s="769">
        <f t="shared" si="10"/>
        <v>625368</v>
      </c>
    </row>
    <row r="78" spans="1:13" ht="12.75" x14ac:dyDescent="0.2">
      <c r="A78" s="642"/>
      <c r="B78" s="661"/>
      <c r="C78" s="757" t="s">
        <v>330</v>
      </c>
      <c r="D78" s="716"/>
      <c r="E78" s="717"/>
      <c r="F78" s="642"/>
      <c r="G78" s="681">
        <f>SUM(I78:M78)</f>
        <v>3766698</v>
      </c>
      <c r="H78" s="642"/>
      <c r="I78" s="727">
        <v>415000</v>
      </c>
      <c r="J78" s="728">
        <v>850244</v>
      </c>
      <c r="K78" s="728">
        <v>750545</v>
      </c>
      <c r="L78" s="728">
        <v>1300234</v>
      </c>
      <c r="M78" s="729">
        <v>450675</v>
      </c>
    </row>
    <row r="79" spans="1:13" ht="12.75" x14ac:dyDescent="0.2">
      <c r="A79" s="642"/>
      <c r="B79" s="661"/>
      <c r="C79" s="721" t="s">
        <v>331</v>
      </c>
      <c r="D79" s="722"/>
      <c r="E79" s="723"/>
      <c r="F79" s="642"/>
      <c r="G79" s="681">
        <f>SUM(I79:M79)</f>
        <v>1714473</v>
      </c>
      <c r="H79" s="642"/>
      <c r="I79" s="770">
        <f>SUM(I80:I82)</f>
        <v>204801</v>
      </c>
      <c r="J79" s="771">
        <f t="shared" ref="J79:M79" si="11">SUM(J80:J82)</f>
        <v>94207</v>
      </c>
      <c r="K79" s="771">
        <f t="shared" si="11"/>
        <v>547716</v>
      </c>
      <c r="L79" s="771">
        <f t="shared" si="11"/>
        <v>693056</v>
      </c>
      <c r="M79" s="772">
        <f t="shared" si="11"/>
        <v>174693</v>
      </c>
    </row>
    <row r="80" spans="1:13" ht="12.75" x14ac:dyDescent="0.2">
      <c r="A80" s="642"/>
      <c r="B80" s="661"/>
      <c r="C80" s="721"/>
      <c r="D80" s="722" t="s">
        <v>332</v>
      </c>
      <c r="E80" s="723"/>
      <c r="F80" s="642"/>
      <c r="G80" s="681"/>
      <c r="H80" s="642"/>
      <c r="I80" s="727">
        <v>204801</v>
      </c>
      <c r="J80" s="728">
        <v>94207</v>
      </c>
      <c r="K80" s="728">
        <v>547716</v>
      </c>
      <c r="L80" s="728">
        <v>693056</v>
      </c>
      <c r="M80" s="729">
        <v>174693</v>
      </c>
    </row>
    <row r="81" spans="1:13" ht="12.75" x14ac:dyDescent="0.2">
      <c r="A81" s="642"/>
      <c r="B81" s="661"/>
      <c r="C81" s="721"/>
      <c r="D81" s="722" t="s">
        <v>333</v>
      </c>
      <c r="E81" s="723"/>
      <c r="F81" s="642"/>
      <c r="G81" s="681">
        <f t="shared" ref="G81:G82" si="12">SUM(I81:M81)</f>
        <v>0</v>
      </c>
      <c r="H81" s="642"/>
      <c r="I81" s="727"/>
      <c r="J81" s="728"/>
      <c r="K81" s="728"/>
      <c r="L81" s="728"/>
      <c r="M81" s="729"/>
    </row>
    <row r="82" spans="1:13" ht="12.75" x14ac:dyDescent="0.2">
      <c r="A82" s="642"/>
      <c r="B82" s="661"/>
      <c r="C82" s="730"/>
      <c r="D82" s="731" t="s">
        <v>334</v>
      </c>
      <c r="E82" s="732"/>
      <c r="F82" s="642"/>
      <c r="G82" s="733">
        <f t="shared" si="12"/>
        <v>0</v>
      </c>
      <c r="H82" s="642"/>
      <c r="I82" s="734"/>
      <c r="J82" s="735"/>
      <c r="K82" s="735"/>
      <c r="L82" s="735"/>
      <c r="M82" s="736"/>
    </row>
    <row r="83" spans="1:13" s="8" customFormat="1" ht="12" customHeight="1" x14ac:dyDescent="0.2">
      <c r="A83" s="711"/>
      <c r="B83" s="737"/>
      <c r="C83" s="773"/>
      <c r="D83" s="773"/>
      <c r="E83" s="773"/>
      <c r="F83" s="711"/>
      <c r="G83" s="711"/>
      <c r="H83" s="711"/>
      <c r="I83" s="711"/>
      <c r="J83" s="711"/>
      <c r="K83" s="711"/>
      <c r="L83" s="711"/>
      <c r="M83" s="711"/>
    </row>
    <row r="84" spans="1:13" ht="12" customHeight="1" x14ac:dyDescent="0.2">
      <c r="A84" s="661"/>
      <c r="B84" s="671" t="s">
        <v>28</v>
      </c>
      <c r="C84" s="661"/>
      <c r="D84" s="661"/>
      <c r="E84" s="661"/>
      <c r="F84" s="661"/>
      <c r="G84" s="763">
        <f>SUM(I84:M84)</f>
        <v>7438114</v>
      </c>
      <c r="H84" s="642"/>
      <c r="I84" s="764">
        <v>2168248</v>
      </c>
      <c r="J84" s="765">
        <v>1125821</v>
      </c>
      <c r="K84" s="765">
        <v>1340076</v>
      </c>
      <c r="L84" s="765">
        <v>1683934</v>
      </c>
      <c r="M84" s="766">
        <v>1120035</v>
      </c>
    </row>
    <row r="85" spans="1:13" s="8" customFormat="1" ht="14.25" customHeight="1" x14ac:dyDescent="0.2">
      <c r="A85" s="711"/>
      <c r="B85" s="737"/>
      <c r="C85" s="773"/>
      <c r="D85" s="773"/>
      <c r="E85" s="773"/>
      <c r="F85" s="711"/>
      <c r="G85" s="711"/>
      <c r="H85" s="711"/>
      <c r="I85" s="711"/>
      <c r="J85" s="711"/>
      <c r="K85" s="711"/>
      <c r="L85" s="711"/>
      <c r="M85" s="711"/>
    </row>
    <row r="86" spans="1:13" ht="12.75" customHeight="1" x14ac:dyDescent="0.2">
      <c r="A86" s="642"/>
      <c r="B86" s="671" t="s">
        <v>29</v>
      </c>
      <c r="C86" s="671"/>
      <c r="D86" s="671"/>
      <c r="E86" s="671"/>
      <c r="F86" s="642"/>
      <c r="G86" s="763">
        <f>SUM(I86:M86)</f>
        <v>10477679</v>
      </c>
      <c r="H86" s="642"/>
      <c r="I86" s="764">
        <v>2356343</v>
      </c>
      <c r="J86" s="765">
        <v>4545545</v>
      </c>
      <c r="K86" s="765">
        <v>0</v>
      </c>
      <c r="L86" s="765">
        <v>123435</v>
      </c>
      <c r="M86" s="766">
        <v>3452356</v>
      </c>
    </row>
    <row r="87" spans="1:13" ht="15.75" customHeight="1" x14ac:dyDescent="0.2">
      <c r="A87" s="774"/>
      <c r="B87" s="658"/>
      <c r="C87" s="775"/>
      <c r="D87" s="774"/>
      <c r="E87" s="658"/>
      <c r="F87" s="774"/>
      <c r="G87" s="775"/>
      <c r="H87" s="774"/>
      <c r="I87" s="774"/>
      <c r="J87" s="774"/>
      <c r="K87" s="774"/>
      <c r="L87" s="774"/>
      <c r="M87" s="774"/>
    </row>
    <row r="88" spans="1:13" ht="12" customHeight="1" x14ac:dyDescent="0.2">
      <c r="A88" s="642"/>
      <c r="B88" s="661"/>
      <c r="C88" s="756"/>
      <c r="D88" s="642"/>
      <c r="E88" s="661"/>
      <c r="F88" s="642"/>
      <c r="G88" s="756"/>
      <c r="H88" s="642"/>
      <c r="I88" s="642"/>
      <c r="J88" s="642"/>
      <c r="K88" s="642"/>
      <c r="L88" s="642"/>
      <c r="M88" s="642"/>
    </row>
    <row r="89" spans="1:13" ht="12" customHeight="1" x14ac:dyDescent="0.2">
      <c r="A89" s="642"/>
      <c r="B89" s="661"/>
      <c r="C89" s="756"/>
      <c r="D89" s="642"/>
      <c r="E89" s="661"/>
      <c r="F89" s="642"/>
      <c r="G89" s="756"/>
      <c r="H89" s="642"/>
      <c r="I89" s="649" t="str">
        <f>$I$13</f>
        <v>IIFS1</v>
      </c>
      <c r="J89" s="649" t="str">
        <f>J$4</f>
        <v>IIFS2</v>
      </c>
      <c r="K89" s="649" t="str">
        <f>K$4</f>
        <v>IIFS3</v>
      </c>
      <c r="L89" s="649" t="str">
        <f>L$4</f>
        <v>IIFS4</v>
      </c>
      <c r="M89" s="650" t="str">
        <f>M$4</f>
        <v>IIFS5</v>
      </c>
    </row>
    <row r="90" spans="1:13" ht="12" customHeight="1" x14ac:dyDescent="0.2">
      <c r="A90" s="641"/>
      <c r="B90" s="776" t="s">
        <v>30</v>
      </c>
      <c r="C90" s="777"/>
      <c r="D90" s="641"/>
      <c r="E90" s="640"/>
      <c r="F90" s="641"/>
      <c r="G90" s="673">
        <f>SUM(I90:M90)</f>
        <v>82084134.373911291</v>
      </c>
      <c r="H90" s="641"/>
      <c r="I90" s="778">
        <f>I15</f>
        <v>16849328.640699401</v>
      </c>
      <c r="J90" s="778">
        <f>J15</f>
        <v>16545896.7205882</v>
      </c>
      <c r="K90" s="778">
        <f>K15</f>
        <v>15947302.0410292</v>
      </c>
      <c r="L90" s="778">
        <f>L15</f>
        <v>16447157.782196999</v>
      </c>
      <c r="M90" s="779">
        <f>M15</f>
        <v>16294449.189397499</v>
      </c>
    </row>
    <row r="91" spans="1:13" ht="12" customHeight="1" x14ac:dyDescent="0.2">
      <c r="A91" s="642"/>
      <c r="B91" s="661"/>
      <c r="C91" s="757" t="s">
        <v>62</v>
      </c>
      <c r="D91" s="716"/>
      <c r="E91" s="717"/>
      <c r="F91" s="642"/>
      <c r="G91" s="681">
        <f>SUM(I91:M91)</f>
        <v>1238526</v>
      </c>
      <c r="H91" s="642"/>
      <c r="I91" s="727">
        <v>550408</v>
      </c>
      <c r="J91" s="728">
        <v>45876</v>
      </c>
      <c r="K91" s="728">
        <v>120454</v>
      </c>
      <c r="L91" s="728">
        <v>454344</v>
      </c>
      <c r="M91" s="729">
        <v>67444</v>
      </c>
    </row>
    <row r="92" spans="1:13" ht="12" customHeight="1" x14ac:dyDescent="0.2">
      <c r="A92" s="642"/>
      <c r="B92" s="661"/>
      <c r="C92" s="721" t="s">
        <v>63</v>
      </c>
      <c r="D92" s="722"/>
      <c r="E92" s="723"/>
      <c r="F92" s="642"/>
      <c r="G92" s="681">
        <f>SUM(I92:M92)</f>
        <v>8204916</v>
      </c>
      <c r="H92" s="642"/>
      <c r="I92" s="727">
        <v>2550408</v>
      </c>
      <c r="J92" s="728">
        <v>465311</v>
      </c>
      <c r="K92" s="728">
        <v>1050720</v>
      </c>
      <c r="L92" s="728">
        <v>3355029</v>
      </c>
      <c r="M92" s="729">
        <v>783448</v>
      </c>
    </row>
    <row r="93" spans="1:13" ht="12" customHeight="1" x14ac:dyDescent="0.2">
      <c r="A93" s="642"/>
      <c r="B93" s="661"/>
      <c r="C93" s="721" t="s">
        <v>425</v>
      </c>
      <c r="D93" s="722"/>
      <c r="E93" s="723"/>
      <c r="F93" s="642"/>
      <c r="G93" s="681">
        <f>SUM(I93:M93)</f>
        <v>12836915</v>
      </c>
      <c r="H93" s="642"/>
      <c r="I93" s="727">
        <v>342984</v>
      </c>
      <c r="J93" s="728">
        <v>4642013</v>
      </c>
      <c r="K93" s="728">
        <v>1853810</v>
      </c>
      <c r="L93" s="728">
        <v>725895</v>
      </c>
      <c r="M93" s="729">
        <v>5272213</v>
      </c>
    </row>
    <row r="94" spans="1:13" ht="12" customHeight="1" x14ac:dyDescent="0.2">
      <c r="A94" s="642"/>
      <c r="B94" s="661"/>
      <c r="C94" s="721" t="s">
        <v>65</v>
      </c>
      <c r="D94" s="722"/>
      <c r="E94" s="723"/>
      <c r="F94" s="642"/>
      <c r="G94" s="681">
        <f>SUM(I94:M94)</f>
        <v>4136576</v>
      </c>
      <c r="H94" s="642"/>
      <c r="I94" s="727">
        <v>1500343</v>
      </c>
      <c r="J94" s="728">
        <v>120565</v>
      </c>
      <c r="K94" s="728">
        <v>600056</v>
      </c>
      <c r="L94" s="728">
        <v>1245567</v>
      </c>
      <c r="M94" s="729">
        <v>670045</v>
      </c>
    </row>
    <row r="95" spans="1:13" ht="12" customHeight="1" x14ac:dyDescent="0.2">
      <c r="A95" s="642"/>
      <c r="B95" s="661"/>
      <c r="C95" s="721" t="s">
        <v>66</v>
      </c>
      <c r="D95" s="722"/>
      <c r="E95" s="723"/>
      <c r="F95" s="642"/>
      <c r="G95" s="681">
        <f t="shared" ref="G95:G103" si="13">SUM(I95:M95)</f>
        <v>2771957</v>
      </c>
      <c r="H95" s="642"/>
      <c r="I95" s="727">
        <v>1175559</v>
      </c>
      <c r="J95" s="728">
        <v>559035</v>
      </c>
      <c r="K95" s="728">
        <v>170212</v>
      </c>
      <c r="L95" s="728">
        <v>65315</v>
      </c>
      <c r="M95" s="729">
        <v>801836</v>
      </c>
    </row>
    <row r="96" spans="1:13" ht="12" customHeight="1" x14ac:dyDescent="0.2">
      <c r="A96" s="642"/>
      <c r="B96" s="661"/>
      <c r="C96" s="721" t="s">
        <v>64</v>
      </c>
      <c r="D96" s="722"/>
      <c r="E96" s="723"/>
      <c r="F96" s="642"/>
      <c r="G96" s="681">
        <f t="shared" si="13"/>
        <v>359081</v>
      </c>
      <c r="H96" s="642"/>
      <c r="I96" s="749">
        <v>130618</v>
      </c>
      <c r="J96" s="750">
        <v>71799</v>
      </c>
      <c r="K96" s="750">
        <v>32361</v>
      </c>
      <c r="L96" s="750">
        <v>10671</v>
      </c>
      <c r="M96" s="751">
        <v>113632</v>
      </c>
    </row>
    <row r="97" spans="1:13" ht="12" customHeight="1" x14ac:dyDescent="0.2">
      <c r="A97" s="642"/>
      <c r="B97" s="661"/>
      <c r="C97" s="721" t="s">
        <v>443</v>
      </c>
      <c r="D97" s="722"/>
      <c r="E97" s="723"/>
      <c r="F97" s="642"/>
      <c r="G97" s="681">
        <f t="shared" si="13"/>
        <v>0</v>
      </c>
      <c r="H97" s="642"/>
      <c r="I97" s="727">
        <v>0</v>
      </c>
      <c r="J97" s="728">
        <v>0</v>
      </c>
      <c r="K97" s="728">
        <v>0</v>
      </c>
      <c r="L97" s="728">
        <v>0</v>
      </c>
      <c r="M97" s="729">
        <v>0</v>
      </c>
    </row>
    <row r="98" spans="1:13" ht="12" customHeight="1" x14ac:dyDescent="0.2">
      <c r="A98" s="642"/>
      <c r="B98" s="661"/>
      <c r="C98" s="721" t="s">
        <v>444</v>
      </c>
      <c r="D98" s="722"/>
      <c r="E98" s="723"/>
      <c r="F98" s="642"/>
      <c r="G98" s="681">
        <f t="shared" si="13"/>
        <v>372675</v>
      </c>
      <c r="H98" s="642"/>
      <c r="I98" s="727">
        <v>50545</v>
      </c>
      <c r="J98" s="728">
        <v>5435</v>
      </c>
      <c r="K98" s="728">
        <v>234567</v>
      </c>
      <c r="L98" s="728">
        <v>75564</v>
      </c>
      <c r="M98" s="729">
        <v>6564</v>
      </c>
    </row>
    <row r="99" spans="1:13" ht="12" customHeight="1" x14ac:dyDescent="0.2">
      <c r="A99" s="642"/>
      <c r="B99" s="661"/>
      <c r="C99" s="721" t="s">
        <v>426</v>
      </c>
      <c r="D99" s="722"/>
      <c r="E99" s="723"/>
      <c r="F99" s="642"/>
      <c r="G99" s="681">
        <f t="shared" si="13"/>
        <v>459771</v>
      </c>
      <c r="H99" s="642"/>
      <c r="I99" s="727">
        <v>0</v>
      </c>
      <c r="J99" s="728">
        <v>87156</v>
      </c>
      <c r="K99" s="728">
        <v>121040</v>
      </c>
      <c r="L99" s="728">
        <v>30721</v>
      </c>
      <c r="M99" s="729">
        <v>220854</v>
      </c>
    </row>
    <row r="100" spans="1:13" s="10" customFormat="1" ht="12" customHeight="1" x14ac:dyDescent="0.2">
      <c r="A100" s="642"/>
      <c r="B100" s="661"/>
      <c r="C100" s="721" t="s">
        <v>445</v>
      </c>
      <c r="D100" s="722"/>
      <c r="E100" s="723"/>
      <c r="F100" s="642"/>
      <c r="G100" s="681">
        <f t="shared" si="13"/>
        <v>1386515</v>
      </c>
      <c r="H100" s="642"/>
      <c r="I100" s="727">
        <v>791616</v>
      </c>
      <c r="J100" s="728">
        <v>124323</v>
      </c>
      <c r="K100" s="728">
        <v>198288</v>
      </c>
      <c r="L100" s="728">
        <v>106366</v>
      </c>
      <c r="M100" s="729">
        <v>165922</v>
      </c>
    </row>
    <row r="101" spans="1:13" s="10" customFormat="1" ht="12" customHeight="1" x14ac:dyDescent="0.2">
      <c r="A101" s="642"/>
      <c r="B101" s="661"/>
      <c r="C101" s="721" t="s">
        <v>67</v>
      </c>
      <c r="D101" s="722"/>
      <c r="E101" s="723"/>
      <c r="F101" s="642"/>
      <c r="G101" s="681">
        <f t="shared" si="13"/>
        <v>0</v>
      </c>
      <c r="H101" s="642"/>
      <c r="I101" s="727">
        <v>0</v>
      </c>
      <c r="J101" s="728">
        <v>0</v>
      </c>
      <c r="K101" s="728">
        <v>0</v>
      </c>
      <c r="L101" s="728">
        <v>0</v>
      </c>
      <c r="M101" s="729">
        <v>0</v>
      </c>
    </row>
    <row r="102" spans="1:13" ht="12.75" x14ac:dyDescent="0.2">
      <c r="A102" s="642"/>
      <c r="B102" s="661"/>
      <c r="C102" s="721" t="s">
        <v>68</v>
      </c>
      <c r="D102" s="722"/>
      <c r="E102" s="723"/>
      <c r="F102" s="642"/>
      <c r="G102" s="681">
        <f t="shared" si="13"/>
        <v>56072164</v>
      </c>
      <c r="H102" s="642"/>
      <c r="I102" s="727">
        <v>11418599</v>
      </c>
      <c r="J102" s="728">
        <v>10439524</v>
      </c>
      <c r="K102" s="728">
        <v>12992519</v>
      </c>
      <c r="L102" s="728">
        <v>12126392</v>
      </c>
      <c r="M102" s="729">
        <v>9095130</v>
      </c>
    </row>
    <row r="103" spans="1:13" s="10" customFormat="1" ht="12" customHeight="1" x14ac:dyDescent="0.2">
      <c r="A103" s="642"/>
      <c r="B103" s="661"/>
      <c r="C103" s="730" t="s">
        <v>69</v>
      </c>
      <c r="D103" s="731"/>
      <c r="E103" s="732"/>
      <c r="F103" s="642"/>
      <c r="G103" s="733">
        <f t="shared" si="13"/>
        <v>13882150</v>
      </c>
      <c r="H103" s="642"/>
      <c r="I103" s="734">
        <v>2906325</v>
      </c>
      <c r="J103" s="735">
        <v>1553388</v>
      </c>
      <c r="K103" s="735">
        <v>3179385</v>
      </c>
      <c r="L103" s="735">
        <v>4075747</v>
      </c>
      <c r="M103" s="736">
        <v>2167305</v>
      </c>
    </row>
    <row r="104" spans="1:13" ht="12" customHeight="1" x14ac:dyDescent="0.2">
      <c r="A104" s="661"/>
      <c r="B104" s="661"/>
      <c r="C104" s="661"/>
      <c r="D104" s="661"/>
      <c r="E104" s="642"/>
      <c r="F104" s="642"/>
      <c r="G104" s="642"/>
      <c r="H104" s="642"/>
      <c r="I104" s="642"/>
      <c r="J104" s="642"/>
      <c r="K104" s="642"/>
      <c r="L104" s="642"/>
      <c r="M104" s="642"/>
    </row>
    <row r="105" spans="1:13" ht="12" hidden="1" customHeight="1" x14ac:dyDescent="0.2">
      <c r="A105" s="661"/>
      <c r="B105" s="671" t="s">
        <v>31</v>
      </c>
      <c r="C105" s="661"/>
      <c r="D105" s="661"/>
      <c r="E105" s="642"/>
      <c r="F105" s="642"/>
      <c r="G105" s="763">
        <f>SUMPRODUCT(I105:M105,I16:M16)</f>
        <v>0</v>
      </c>
      <c r="H105" s="642"/>
      <c r="I105" s="780"/>
      <c r="J105" s="781"/>
      <c r="K105" s="781"/>
      <c r="L105" s="781"/>
      <c r="M105" s="781"/>
    </row>
    <row r="106" spans="1:13" ht="12" hidden="1" customHeight="1" x14ac:dyDescent="0.2">
      <c r="A106" s="661"/>
      <c r="B106" s="661"/>
      <c r="C106" s="661"/>
      <c r="D106" s="661"/>
      <c r="E106" s="642"/>
      <c r="F106" s="642"/>
      <c r="G106" s="642"/>
      <c r="H106" s="642"/>
      <c r="I106" s="642"/>
      <c r="J106" s="642"/>
      <c r="K106" s="642"/>
      <c r="L106" s="642"/>
      <c r="M106" s="642"/>
    </row>
    <row r="107" spans="1:13" s="9" customFormat="1" ht="12" customHeight="1" x14ac:dyDescent="0.2">
      <c r="A107" s="711"/>
      <c r="B107" s="667" t="s">
        <v>74</v>
      </c>
      <c r="C107" s="782"/>
      <c r="D107" s="711"/>
      <c r="E107" s="737"/>
      <c r="F107" s="711"/>
      <c r="G107" s="782"/>
      <c r="H107" s="711"/>
      <c r="I107" s="711"/>
      <c r="J107" s="711"/>
      <c r="K107" s="711"/>
      <c r="L107" s="711"/>
      <c r="M107" s="711"/>
    </row>
    <row r="108" spans="1:13" s="9" customFormat="1" ht="12" customHeight="1" x14ac:dyDescent="0.2">
      <c r="A108" s="711"/>
      <c r="B108" s="667"/>
      <c r="C108" s="782"/>
      <c r="D108" s="711"/>
      <c r="E108" s="737"/>
      <c r="F108" s="711"/>
      <c r="G108" s="782"/>
      <c r="H108" s="711"/>
      <c r="I108" s="649" t="str">
        <f>$I$13</f>
        <v>IIFS1</v>
      </c>
      <c r="J108" s="649" t="str">
        <f>J$4</f>
        <v>IIFS2</v>
      </c>
      <c r="K108" s="649" t="str">
        <f>K$4</f>
        <v>IIFS3</v>
      </c>
      <c r="L108" s="649" t="str">
        <f>L$4</f>
        <v>IIFS4</v>
      </c>
      <c r="M108" s="650" t="str">
        <f>M$4</f>
        <v>IIFS5</v>
      </c>
    </row>
    <row r="109" spans="1:13" s="9" customFormat="1" ht="12.75" customHeight="1" x14ac:dyDescent="0.2">
      <c r="A109" s="711"/>
      <c r="B109" s="737"/>
      <c r="C109" s="783" t="s">
        <v>174</v>
      </c>
      <c r="D109" s="784"/>
      <c r="E109" s="784"/>
      <c r="F109" s="711"/>
      <c r="G109" s="673">
        <f>SUM(I109:M109)</f>
        <v>2778969</v>
      </c>
      <c r="H109" s="711"/>
      <c r="I109" s="785">
        <v>881670</v>
      </c>
      <c r="J109" s="786">
        <v>419277</v>
      </c>
      <c r="K109" s="786">
        <v>627659</v>
      </c>
      <c r="L109" s="786">
        <v>248986</v>
      </c>
      <c r="M109" s="787">
        <v>601377</v>
      </c>
    </row>
    <row r="110" spans="1:13" s="9" customFormat="1" ht="12.75" customHeight="1" x14ac:dyDescent="0.2">
      <c r="A110" s="711"/>
      <c r="B110" s="737"/>
      <c r="C110" s="788" t="s">
        <v>175</v>
      </c>
      <c r="D110" s="845"/>
      <c r="E110" s="789"/>
      <c r="F110" s="711"/>
      <c r="G110" s="681">
        <f>SUM(I110:M110)</f>
        <v>836990</v>
      </c>
      <c r="H110" s="711"/>
      <c r="I110" s="727">
        <v>293890</v>
      </c>
      <c r="J110" s="728">
        <v>139759</v>
      </c>
      <c r="K110" s="728">
        <v>42553</v>
      </c>
      <c r="L110" s="728">
        <v>160329</v>
      </c>
      <c r="M110" s="729">
        <v>200459</v>
      </c>
    </row>
    <row r="111" spans="1:13" s="9" customFormat="1" ht="12.75" customHeight="1" x14ac:dyDescent="0.2">
      <c r="A111" s="711"/>
      <c r="B111" s="737"/>
      <c r="C111" s="788" t="s">
        <v>177</v>
      </c>
      <c r="D111" s="845"/>
      <c r="E111" s="789"/>
      <c r="F111" s="711"/>
      <c r="G111" s="681">
        <v>0</v>
      </c>
      <c r="H111" s="711"/>
      <c r="I111" s="727">
        <v>45875</v>
      </c>
      <c r="J111" s="728">
        <v>0</v>
      </c>
      <c r="K111" s="728">
        <v>0</v>
      </c>
      <c r="L111" s="728">
        <v>0</v>
      </c>
      <c r="M111" s="729">
        <v>0</v>
      </c>
    </row>
    <row r="112" spans="1:13" s="9" customFormat="1" ht="12.75" customHeight="1" x14ac:dyDescent="0.2">
      <c r="A112" s="711"/>
      <c r="B112" s="737"/>
      <c r="C112" s="788" t="s">
        <v>178</v>
      </c>
      <c r="D112" s="845"/>
      <c r="E112" s="789"/>
      <c r="F112" s="711"/>
      <c r="G112" s="681"/>
      <c r="H112" s="711"/>
      <c r="I112" s="727">
        <v>0</v>
      </c>
      <c r="J112" s="728">
        <v>0</v>
      </c>
      <c r="K112" s="728">
        <v>0</v>
      </c>
      <c r="L112" s="728">
        <v>0</v>
      </c>
      <c r="M112" s="729">
        <v>0</v>
      </c>
    </row>
    <row r="113" spans="1:13" s="9" customFormat="1" ht="12.75" customHeight="1" x14ac:dyDescent="0.2">
      <c r="A113" s="711"/>
      <c r="B113" s="737"/>
      <c r="C113" s="788" t="s">
        <v>179</v>
      </c>
      <c r="D113" s="845"/>
      <c r="E113" s="789"/>
      <c r="F113" s="711"/>
      <c r="G113" s="681">
        <f t="shared" ref="G113:G131" si="14">SUM(I113:M113)</f>
        <v>9173909</v>
      </c>
      <c r="H113" s="711"/>
      <c r="I113" s="727">
        <v>1182353</v>
      </c>
      <c r="J113" s="728">
        <v>2038032</v>
      </c>
      <c r="K113" s="728">
        <v>2990370</v>
      </c>
      <c r="L113" s="728">
        <v>1879772</v>
      </c>
      <c r="M113" s="729">
        <v>1083382</v>
      </c>
    </row>
    <row r="114" spans="1:13" s="9" customFormat="1" ht="12.75" customHeight="1" x14ac:dyDescent="0.2">
      <c r="A114" s="711"/>
      <c r="B114" s="737"/>
      <c r="C114" s="788" t="s">
        <v>180</v>
      </c>
      <c r="D114" s="845"/>
      <c r="E114" s="789"/>
      <c r="F114" s="711"/>
      <c r="G114" s="681">
        <f t="shared" si="14"/>
        <v>4586954</v>
      </c>
      <c r="H114" s="711"/>
      <c r="I114" s="727">
        <v>591176</v>
      </c>
      <c r="J114" s="728">
        <v>1019016</v>
      </c>
      <c r="K114" s="728">
        <v>1495185</v>
      </c>
      <c r="L114" s="728">
        <v>939886</v>
      </c>
      <c r="M114" s="729">
        <v>541691</v>
      </c>
    </row>
    <row r="115" spans="1:13" s="9" customFormat="1" ht="12.75" customHeight="1" x14ac:dyDescent="0.2">
      <c r="A115" s="711"/>
      <c r="B115" s="737"/>
      <c r="C115" s="788" t="s">
        <v>57</v>
      </c>
      <c r="D115" s="845"/>
      <c r="E115" s="789"/>
      <c r="F115" s="711"/>
      <c r="G115" s="681">
        <f t="shared" si="14"/>
        <v>4716717</v>
      </c>
      <c r="H115" s="711"/>
      <c r="I115" s="727">
        <v>1066473</v>
      </c>
      <c r="J115" s="728">
        <v>1228823</v>
      </c>
      <c r="K115" s="728">
        <v>0</v>
      </c>
      <c r="L115" s="728">
        <v>1073703</v>
      </c>
      <c r="M115" s="729">
        <v>1347718</v>
      </c>
    </row>
    <row r="116" spans="1:13" s="9" customFormat="1" ht="12.75" customHeight="1" x14ac:dyDescent="0.2">
      <c r="A116" s="711"/>
      <c r="B116" s="737"/>
      <c r="C116" s="788" t="s">
        <v>184</v>
      </c>
      <c r="D116" s="845"/>
      <c r="E116" s="789"/>
      <c r="F116" s="711"/>
      <c r="G116" s="681">
        <f t="shared" si="14"/>
        <v>5857420</v>
      </c>
      <c r="H116" s="711"/>
      <c r="I116" s="727">
        <v>1030060</v>
      </c>
      <c r="J116" s="728">
        <v>1409844</v>
      </c>
      <c r="K116" s="728">
        <v>986822</v>
      </c>
      <c r="L116" s="728">
        <v>1264547</v>
      </c>
      <c r="M116" s="729">
        <v>1166147</v>
      </c>
    </row>
    <row r="117" spans="1:13" s="9" customFormat="1" ht="12.75" customHeight="1" x14ac:dyDescent="0.2">
      <c r="A117" s="711"/>
      <c r="B117" s="737"/>
      <c r="C117" s="788" t="s">
        <v>181</v>
      </c>
      <c r="D117" s="845"/>
      <c r="E117" s="789"/>
      <c r="F117" s="711"/>
      <c r="G117" s="681">
        <f t="shared" si="14"/>
        <v>1528985</v>
      </c>
      <c r="H117" s="711"/>
      <c r="I117" s="727">
        <v>197059</v>
      </c>
      <c r="J117" s="728">
        <v>339672</v>
      </c>
      <c r="K117" s="728">
        <v>498395</v>
      </c>
      <c r="L117" s="728">
        <v>313295</v>
      </c>
      <c r="M117" s="729">
        <v>180564</v>
      </c>
    </row>
    <row r="118" spans="1:13" s="9" customFormat="1" ht="12.75" customHeight="1" x14ac:dyDescent="0.2">
      <c r="A118" s="711"/>
      <c r="B118" s="737"/>
      <c r="C118" s="788" t="s">
        <v>182</v>
      </c>
      <c r="D118" s="845"/>
      <c r="E118" s="789"/>
      <c r="F118" s="711"/>
      <c r="G118" s="681">
        <f t="shared" si="14"/>
        <v>2966794</v>
      </c>
      <c r="H118" s="711"/>
      <c r="I118" s="727">
        <v>492424</v>
      </c>
      <c r="J118" s="728">
        <v>702524</v>
      </c>
      <c r="K118" s="728">
        <v>598074</v>
      </c>
      <c r="L118" s="728">
        <v>633643</v>
      </c>
      <c r="M118" s="729">
        <v>540129</v>
      </c>
    </row>
    <row r="119" spans="1:13" s="9" customFormat="1" ht="12.75" customHeight="1" x14ac:dyDescent="0.2">
      <c r="A119" s="711"/>
      <c r="B119" s="737"/>
      <c r="C119" s="788" t="s">
        <v>183</v>
      </c>
      <c r="D119" s="845"/>
      <c r="E119" s="789"/>
      <c r="F119" s="711"/>
      <c r="G119" s="681">
        <f t="shared" si="14"/>
        <v>4450191</v>
      </c>
      <c r="H119" s="711"/>
      <c r="I119" s="727">
        <v>738636</v>
      </c>
      <c r="J119" s="728">
        <v>1053786</v>
      </c>
      <c r="K119" s="728">
        <v>897111</v>
      </c>
      <c r="L119" s="728">
        <v>950465</v>
      </c>
      <c r="M119" s="729">
        <v>810193</v>
      </c>
    </row>
    <row r="120" spans="1:13" s="9" customFormat="1" ht="12.75" customHeight="1" x14ac:dyDescent="0.2">
      <c r="A120" s="711"/>
      <c r="B120" s="737"/>
      <c r="C120" s="788" t="s">
        <v>32</v>
      </c>
      <c r="D120" s="845"/>
      <c r="E120" s="789"/>
      <c r="F120" s="711"/>
      <c r="G120" s="681">
        <f t="shared" si="14"/>
        <v>113604</v>
      </c>
      <c r="H120" s="711"/>
      <c r="I120" s="727">
        <v>2914</v>
      </c>
      <c r="J120" s="728">
        <v>18987</v>
      </c>
      <c r="K120" s="728">
        <v>21582</v>
      </c>
      <c r="L120" s="728">
        <v>4319</v>
      </c>
      <c r="M120" s="729">
        <v>65802</v>
      </c>
    </row>
    <row r="121" spans="1:13" s="9" customFormat="1" ht="12.75" customHeight="1" x14ac:dyDescent="0.2">
      <c r="A121" s="711"/>
      <c r="B121" s="737"/>
      <c r="C121" s="788" t="s">
        <v>33</v>
      </c>
      <c r="D121" s="845"/>
      <c r="E121" s="789"/>
      <c r="F121" s="711"/>
      <c r="G121" s="681">
        <f t="shared" si="14"/>
        <v>170405</v>
      </c>
      <c r="H121" s="711"/>
      <c r="I121" s="727">
        <v>4370</v>
      </c>
      <c r="J121" s="728">
        <v>28480</v>
      </c>
      <c r="K121" s="728">
        <v>32374</v>
      </c>
      <c r="L121" s="728">
        <v>6478</v>
      </c>
      <c r="M121" s="729">
        <v>98703</v>
      </c>
    </row>
    <row r="122" spans="1:13" s="9" customFormat="1" ht="12.75" x14ac:dyDescent="0.2">
      <c r="A122" s="711"/>
      <c r="B122" s="737"/>
      <c r="C122" s="788" t="s">
        <v>34</v>
      </c>
      <c r="D122" s="845"/>
      <c r="E122" s="789"/>
      <c r="F122" s="711"/>
      <c r="G122" s="681">
        <f t="shared" si="14"/>
        <v>113604</v>
      </c>
      <c r="H122" s="711"/>
      <c r="I122" s="727">
        <v>2914</v>
      </c>
      <c r="J122" s="728">
        <v>18987</v>
      </c>
      <c r="K122" s="728">
        <v>21582</v>
      </c>
      <c r="L122" s="728">
        <v>4319</v>
      </c>
      <c r="M122" s="729">
        <v>65802</v>
      </c>
    </row>
    <row r="123" spans="1:13" s="9" customFormat="1" ht="12.6" customHeight="1" x14ac:dyDescent="0.2">
      <c r="A123" s="711"/>
      <c r="B123" s="737"/>
      <c r="C123" s="790" t="s">
        <v>35</v>
      </c>
      <c r="D123" s="791"/>
      <c r="E123" s="791"/>
      <c r="F123" s="711"/>
      <c r="G123" s="681">
        <f t="shared" si="14"/>
        <v>0</v>
      </c>
      <c r="H123" s="711"/>
      <c r="I123" s="727"/>
      <c r="J123" s="728"/>
      <c r="K123" s="728"/>
      <c r="L123" s="728"/>
      <c r="M123" s="729"/>
    </row>
    <row r="124" spans="1:13" s="9" customFormat="1" ht="12.6" customHeight="1" x14ac:dyDescent="0.2">
      <c r="A124" s="711"/>
      <c r="B124" s="737"/>
      <c r="C124" s="790" t="s">
        <v>36</v>
      </c>
      <c r="D124" s="791"/>
      <c r="E124" s="791"/>
      <c r="F124" s="711"/>
      <c r="G124" s="681">
        <f t="shared" si="14"/>
        <v>0</v>
      </c>
      <c r="H124" s="711"/>
      <c r="I124" s="727">
        <v>0</v>
      </c>
      <c r="J124" s="728">
        <v>0</v>
      </c>
      <c r="K124" s="728">
        <v>0</v>
      </c>
      <c r="L124" s="728">
        <v>0</v>
      </c>
      <c r="M124" s="729">
        <v>0</v>
      </c>
    </row>
    <row r="125" spans="1:13" s="9" customFormat="1" ht="12.6" customHeight="1" x14ac:dyDescent="0.2">
      <c r="A125" s="711"/>
      <c r="B125" s="737"/>
      <c r="C125" s="790" t="s">
        <v>37</v>
      </c>
      <c r="D125" s="791"/>
      <c r="E125" s="791"/>
      <c r="F125" s="711"/>
      <c r="G125" s="681">
        <f t="shared" si="14"/>
        <v>0</v>
      </c>
      <c r="H125" s="711"/>
      <c r="I125" s="727"/>
      <c r="J125" s="728"/>
      <c r="K125" s="728"/>
      <c r="L125" s="728"/>
      <c r="M125" s="729"/>
    </row>
    <row r="126" spans="1:13" s="9" customFormat="1" ht="12.75" x14ac:dyDescent="0.2">
      <c r="A126" s="711"/>
      <c r="B126" s="737"/>
      <c r="C126" s="790" t="s">
        <v>185</v>
      </c>
      <c r="D126" s="791"/>
      <c r="E126" s="791"/>
      <c r="F126" s="711"/>
      <c r="G126" s="681">
        <f t="shared" si="14"/>
        <v>13882150</v>
      </c>
      <c r="H126" s="711"/>
      <c r="I126" s="727">
        <v>2906325</v>
      </c>
      <c r="J126" s="728">
        <v>1553388</v>
      </c>
      <c r="K126" s="728">
        <v>3179385</v>
      </c>
      <c r="L126" s="728">
        <v>4075747</v>
      </c>
      <c r="M126" s="729">
        <v>2167305</v>
      </c>
    </row>
    <row r="127" spans="1:13" s="9" customFormat="1" ht="12.75" x14ac:dyDescent="0.2">
      <c r="A127" s="711"/>
      <c r="B127" s="737"/>
      <c r="C127" s="790" t="s">
        <v>38</v>
      </c>
      <c r="D127" s="791"/>
      <c r="E127" s="791"/>
      <c r="F127" s="711"/>
      <c r="G127" s="681">
        <f t="shared" si="14"/>
        <v>0</v>
      </c>
      <c r="H127" s="711"/>
      <c r="I127" s="727"/>
      <c r="J127" s="728"/>
      <c r="K127" s="728"/>
      <c r="L127" s="728"/>
      <c r="M127" s="729"/>
    </row>
    <row r="128" spans="1:13" s="9" customFormat="1" ht="12.75" x14ac:dyDescent="0.2">
      <c r="A128" s="711"/>
      <c r="B128" s="737"/>
      <c r="C128" s="790" t="s">
        <v>427</v>
      </c>
      <c r="D128" s="791"/>
      <c r="E128" s="791"/>
      <c r="F128" s="711"/>
      <c r="G128" s="681">
        <f t="shared" si="14"/>
        <v>2803608</v>
      </c>
      <c r="H128" s="711"/>
      <c r="I128" s="727">
        <v>570930</v>
      </c>
      <c r="J128" s="728">
        <v>521976</v>
      </c>
      <c r="K128" s="728">
        <v>649626</v>
      </c>
      <c r="L128" s="728">
        <v>606320</v>
      </c>
      <c r="M128" s="729">
        <v>454756</v>
      </c>
    </row>
    <row r="129" spans="1:13" s="9" customFormat="1" ht="12.6" customHeight="1" x14ac:dyDescent="0.2">
      <c r="A129" s="711"/>
      <c r="B129" s="737"/>
      <c r="C129" s="790" t="s">
        <v>428</v>
      </c>
      <c r="D129" s="791"/>
      <c r="E129" s="791"/>
      <c r="F129" s="711"/>
      <c r="G129" s="681">
        <f t="shared" si="14"/>
        <v>5064620</v>
      </c>
      <c r="H129" s="711"/>
      <c r="I129" s="727">
        <v>987194</v>
      </c>
      <c r="J129" s="728">
        <v>1025229</v>
      </c>
      <c r="K129" s="728">
        <v>963362</v>
      </c>
      <c r="L129" s="728">
        <v>1009953</v>
      </c>
      <c r="M129" s="729">
        <v>1078882</v>
      </c>
    </row>
    <row r="130" spans="1:13" s="9" customFormat="1" ht="12.6" customHeight="1" x14ac:dyDescent="0.2">
      <c r="A130" s="711"/>
      <c r="B130" s="737"/>
      <c r="C130" s="790" t="s">
        <v>169</v>
      </c>
      <c r="D130" s="792"/>
      <c r="E130" s="792"/>
      <c r="F130" s="711"/>
      <c r="G130" s="681">
        <f>SUM(I130:M130)</f>
        <v>211904.1</v>
      </c>
      <c r="H130" s="711"/>
      <c r="I130" s="727">
        <v>52960</v>
      </c>
      <c r="J130" s="728">
        <v>41321.5</v>
      </c>
      <c r="K130" s="728">
        <v>12545.2</v>
      </c>
      <c r="L130" s="728">
        <v>60052.4</v>
      </c>
      <c r="M130" s="729">
        <v>45025</v>
      </c>
    </row>
    <row r="131" spans="1:13" s="9" customFormat="1" ht="12.6" customHeight="1" x14ac:dyDescent="0.2">
      <c r="A131" s="711"/>
      <c r="B131" s="737"/>
      <c r="C131" s="793" t="s">
        <v>429</v>
      </c>
      <c r="D131" s="794"/>
      <c r="E131" s="794"/>
      <c r="F131" s="711"/>
      <c r="G131" s="681">
        <f t="shared" si="14"/>
        <v>42380.820000000007</v>
      </c>
      <c r="H131" s="711"/>
      <c r="I131" s="734">
        <f>+I130*0.2</f>
        <v>10592</v>
      </c>
      <c r="J131" s="735">
        <f t="shared" ref="J131:M131" si="15">+J130*0.2</f>
        <v>8264.3000000000011</v>
      </c>
      <c r="K131" s="735">
        <f t="shared" si="15"/>
        <v>2509.0400000000004</v>
      </c>
      <c r="L131" s="735">
        <f t="shared" si="15"/>
        <v>12010.480000000001</v>
      </c>
      <c r="M131" s="736">
        <f t="shared" si="15"/>
        <v>9005</v>
      </c>
    </row>
    <row r="132" spans="1:13" s="9" customFormat="1" ht="12.6" customHeight="1" x14ac:dyDescent="0.2">
      <c r="A132" s="711"/>
      <c r="B132" s="737"/>
      <c r="C132" s="711"/>
      <c r="D132" s="711"/>
      <c r="E132" s="711"/>
      <c r="F132" s="711"/>
      <c r="G132" s="711"/>
      <c r="H132" s="711"/>
      <c r="I132" s="711"/>
      <c r="J132" s="711"/>
      <c r="K132" s="711"/>
      <c r="L132" s="711"/>
      <c r="M132" s="711"/>
    </row>
    <row r="133" spans="1:13" s="9" customFormat="1" ht="12" customHeight="1" x14ac:dyDescent="0.2">
      <c r="A133" s="711"/>
      <c r="B133" s="667" t="s">
        <v>305</v>
      </c>
      <c r="C133" s="711"/>
      <c r="D133" s="711"/>
      <c r="E133" s="711"/>
      <c r="F133" s="711"/>
      <c r="G133" s="711"/>
      <c r="H133" s="711"/>
      <c r="I133" s="711"/>
      <c r="J133" s="711"/>
      <c r="K133" s="711"/>
      <c r="L133" s="711"/>
      <c r="M133" s="711"/>
    </row>
    <row r="134" spans="1:13" s="9" customFormat="1" ht="12" customHeight="1" x14ac:dyDescent="0.2">
      <c r="A134" s="711"/>
      <c r="B134" s="667"/>
      <c r="C134" s="667" t="s">
        <v>163</v>
      </c>
      <c r="D134" s="711"/>
      <c r="E134" s="737"/>
      <c r="F134" s="711"/>
      <c r="G134" s="782"/>
      <c r="H134" s="711"/>
      <c r="I134" s="649" t="str">
        <f>$I$13</f>
        <v>IIFS1</v>
      </c>
      <c r="J134" s="649" t="str">
        <f>J$4</f>
        <v>IIFS2</v>
      </c>
      <c r="K134" s="649" t="str">
        <f>K$4</f>
        <v>IIFS3</v>
      </c>
      <c r="L134" s="649" t="str">
        <f>L$4</f>
        <v>IIFS4</v>
      </c>
      <c r="M134" s="650" t="str">
        <f>M$4</f>
        <v>IIFS5</v>
      </c>
    </row>
    <row r="135" spans="1:13" s="9" customFormat="1" ht="12.75" customHeight="1" x14ac:dyDescent="0.2">
      <c r="A135" s="711"/>
      <c r="B135" s="737"/>
      <c r="C135" s="890" t="s">
        <v>0</v>
      </c>
      <c r="D135" s="891"/>
      <c r="E135" s="892"/>
      <c r="F135" s="711"/>
      <c r="G135" s="673">
        <f>SUM(I135:M135)</f>
        <v>25182748</v>
      </c>
      <c r="H135" s="711"/>
      <c r="I135" s="795">
        <f>+SUM(I136:I140)</f>
        <v>3489676</v>
      </c>
      <c r="J135" s="796">
        <f t="shared" ref="J135:M135" si="16">+SUM(J136:J140)</f>
        <v>5942767</v>
      </c>
      <c r="K135" s="796">
        <f t="shared" si="16"/>
        <v>4481752</v>
      </c>
      <c r="L135" s="796">
        <f>+SUM(L136:L140)</f>
        <v>5080913</v>
      </c>
      <c r="M135" s="797">
        <f t="shared" si="16"/>
        <v>6187640</v>
      </c>
    </row>
    <row r="136" spans="1:13" s="9" customFormat="1" ht="12.75" customHeight="1" x14ac:dyDescent="0.2">
      <c r="A136" s="711"/>
      <c r="B136" s="737"/>
      <c r="C136" s="857" t="s">
        <v>170</v>
      </c>
      <c r="D136" s="858"/>
      <c r="E136" s="859"/>
      <c r="F136" s="711"/>
      <c r="G136" s="681">
        <f>SUM(I136:M136)</f>
        <v>1238526</v>
      </c>
      <c r="H136" s="711"/>
      <c r="I136" s="727">
        <f>+I91</f>
        <v>550408</v>
      </c>
      <c r="J136" s="728">
        <f t="shared" ref="J136:M136" si="17">+J91</f>
        <v>45876</v>
      </c>
      <c r="K136" s="728">
        <f t="shared" si="17"/>
        <v>120454</v>
      </c>
      <c r="L136" s="728">
        <f t="shared" si="17"/>
        <v>454344</v>
      </c>
      <c r="M136" s="729">
        <f t="shared" si="17"/>
        <v>67444</v>
      </c>
    </row>
    <row r="137" spans="1:13" s="9" customFormat="1" ht="12.75" customHeight="1" x14ac:dyDescent="0.2">
      <c r="A137" s="711"/>
      <c r="B137" s="737"/>
      <c r="C137" s="857" t="s">
        <v>171</v>
      </c>
      <c r="D137" s="858"/>
      <c r="E137" s="859"/>
      <c r="F137" s="711"/>
      <c r="G137" s="681">
        <f t="shared" ref="G137:G138" si="18">SUM(I137:M137)</f>
        <v>8204916</v>
      </c>
      <c r="H137" s="711"/>
      <c r="I137" s="727">
        <f>+I92</f>
        <v>2550408</v>
      </c>
      <c r="J137" s="728">
        <f t="shared" ref="J137:M137" si="19">+J92</f>
        <v>465311</v>
      </c>
      <c r="K137" s="728">
        <f t="shared" si="19"/>
        <v>1050720</v>
      </c>
      <c r="L137" s="728">
        <f t="shared" si="19"/>
        <v>3355029</v>
      </c>
      <c r="M137" s="729">
        <f t="shared" si="19"/>
        <v>783448</v>
      </c>
    </row>
    <row r="138" spans="1:13" s="9" customFormat="1" ht="12.75" customHeight="1" x14ac:dyDescent="0.2">
      <c r="A138" s="711"/>
      <c r="B138" s="737"/>
      <c r="C138" s="857" t="s">
        <v>306</v>
      </c>
      <c r="D138" s="858"/>
      <c r="E138" s="859"/>
      <c r="F138" s="711"/>
      <c r="G138" s="681">
        <f t="shared" si="18"/>
        <v>0</v>
      </c>
      <c r="H138" s="711"/>
      <c r="I138" s="727">
        <v>0</v>
      </c>
      <c r="J138" s="728">
        <v>0</v>
      </c>
      <c r="K138" s="728">
        <v>0</v>
      </c>
      <c r="L138" s="728">
        <v>0</v>
      </c>
      <c r="M138" s="729">
        <v>0</v>
      </c>
    </row>
    <row r="139" spans="1:13" s="9" customFormat="1" ht="12.75" customHeight="1" x14ac:dyDescent="0.2">
      <c r="A139" s="711"/>
      <c r="B139" s="737"/>
      <c r="C139" s="857" t="s">
        <v>307</v>
      </c>
      <c r="D139" s="858"/>
      <c r="E139" s="859"/>
      <c r="F139" s="711"/>
      <c r="G139" s="681">
        <f t="shared" ref="G139:G148" si="20">SUM(I139:M139)</f>
        <v>12836915</v>
      </c>
      <c r="H139" s="711"/>
      <c r="I139" s="727">
        <v>342984</v>
      </c>
      <c r="J139" s="728">
        <v>4642013</v>
      </c>
      <c r="K139" s="728">
        <v>1853810</v>
      </c>
      <c r="L139" s="728">
        <v>725895</v>
      </c>
      <c r="M139" s="729">
        <v>5272213</v>
      </c>
    </row>
    <row r="140" spans="1:13" s="9" customFormat="1" ht="12.75" customHeight="1" x14ac:dyDescent="0.2">
      <c r="A140" s="711"/>
      <c r="B140" s="737"/>
      <c r="C140" s="857" t="s">
        <v>308</v>
      </c>
      <c r="D140" s="858"/>
      <c r="E140" s="859"/>
      <c r="F140" s="711"/>
      <c r="G140" s="681">
        <f t="shared" si="20"/>
        <v>2902391</v>
      </c>
      <c r="H140" s="711"/>
      <c r="I140" s="727">
        <v>45876</v>
      </c>
      <c r="J140" s="728">
        <v>789567</v>
      </c>
      <c r="K140" s="728">
        <v>1456768</v>
      </c>
      <c r="L140" s="728">
        <v>545645</v>
      </c>
      <c r="M140" s="729">
        <v>64535</v>
      </c>
    </row>
    <row r="141" spans="1:13" s="9" customFormat="1" ht="12.75" customHeight="1" x14ac:dyDescent="0.2">
      <c r="A141" s="711"/>
      <c r="B141" s="737"/>
      <c r="C141" s="879" t="s">
        <v>1</v>
      </c>
      <c r="D141" s="880"/>
      <c r="E141" s="881"/>
      <c r="F141" s="711"/>
      <c r="G141" s="681">
        <f t="shared" si="20"/>
        <v>378996</v>
      </c>
      <c r="H141" s="711"/>
      <c r="I141" s="770">
        <f>I142+I145</f>
        <v>293890</v>
      </c>
      <c r="J141" s="771">
        <f t="shared" ref="J141:M141" si="21">SUM(J142:J143)</f>
        <v>0</v>
      </c>
      <c r="K141" s="771">
        <f t="shared" si="21"/>
        <v>85106</v>
      </c>
      <c r="L141" s="771">
        <f t="shared" si="21"/>
        <v>0</v>
      </c>
      <c r="M141" s="772">
        <f t="shared" si="21"/>
        <v>0</v>
      </c>
    </row>
    <row r="142" spans="1:13" s="9" customFormat="1" ht="12.75" customHeight="1" x14ac:dyDescent="0.2">
      <c r="A142" s="711"/>
      <c r="B142" s="737"/>
      <c r="C142" s="879" t="s">
        <v>2</v>
      </c>
      <c r="D142" s="880"/>
      <c r="E142" s="881"/>
      <c r="F142" s="711"/>
      <c r="G142" s="681">
        <f t="shared" si="20"/>
        <v>290568</v>
      </c>
      <c r="H142" s="711"/>
      <c r="I142" s="770">
        <f>SUM(I143:I144)</f>
        <v>248015</v>
      </c>
      <c r="J142" s="771">
        <f t="shared" ref="J142:M142" si="22">SUM(J143:J144)</f>
        <v>0</v>
      </c>
      <c r="K142" s="771">
        <f t="shared" si="22"/>
        <v>42553</v>
      </c>
      <c r="L142" s="771">
        <f t="shared" si="22"/>
        <v>0</v>
      </c>
      <c r="M142" s="772">
        <f t="shared" si="22"/>
        <v>0</v>
      </c>
    </row>
    <row r="143" spans="1:13" s="9" customFormat="1" ht="12.75" customHeight="1" x14ac:dyDescent="0.2">
      <c r="A143" s="711"/>
      <c r="B143" s="737"/>
      <c r="C143" s="857" t="s">
        <v>309</v>
      </c>
      <c r="D143" s="872"/>
      <c r="E143" s="873"/>
      <c r="F143" s="711"/>
      <c r="G143" s="681">
        <f t="shared" si="20"/>
        <v>224594</v>
      </c>
      <c r="H143" s="711"/>
      <c r="I143" s="749">
        <v>182041</v>
      </c>
      <c r="J143" s="728">
        <v>0</v>
      </c>
      <c r="K143" s="728">
        <v>42553</v>
      </c>
      <c r="L143" s="728">
        <v>0</v>
      </c>
      <c r="M143" s="729">
        <v>0</v>
      </c>
    </row>
    <row r="144" spans="1:13" s="9" customFormat="1" ht="12.75" customHeight="1" x14ac:dyDescent="0.2">
      <c r="A144" s="711"/>
      <c r="B144" s="737"/>
      <c r="C144" s="857" t="s">
        <v>310</v>
      </c>
      <c r="D144" s="858"/>
      <c r="E144" s="859"/>
      <c r="F144" s="711"/>
      <c r="G144" s="681">
        <f t="shared" si="20"/>
        <v>65974</v>
      </c>
      <c r="H144" s="711"/>
      <c r="I144" s="749">
        <v>65974</v>
      </c>
      <c r="J144" s="728">
        <v>0</v>
      </c>
      <c r="K144" s="728">
        <v>0</v>
      </c>
      <c r="L144" s="728">
        <v>0</v>
      </c>
      <c r="M144" s="729">
        <v>0</v>
      </c>
    </row>
    <row r="145" spans="1:13" s="9" customFormat="1" ht="12.75" customHeight="1" x14ac:dyDescent="0.2">
      <c r="A145" s="711"/>
      <c r="B145" s="737"/>
      <c r="C145" s="879" t="s">
        <v>3</v>
      </c>
      <c r="D145" s="880"/>
      <c r="E145" s="881"/>
      <c r="F145" s="711"/>
      <c r="G145" s="681">
        <f t="shared" si="20"/>
        <v>45875</v>
      </c>
      <c r="H145" s="711"/>
      <c r="I145" s="770">
        <f>SUM(I146:I148)</f>
        <v>45875</v>
      </c>
      <c r="J145" s="771">
        <f t="shared" ref="J145:M145" si="23">SUM(J146:J148)</f>
        <v>0</v>
      </c>
      <c r="K145" s="771">
        <f t="shared" si="23"/>
        <v>0</v>
      </c>
      <c r="L145" s="771">
        <f t="shared" si="23"/>
        <v>0</v>
      </c>
      <c r="M145" s="772">
        <f t="shared" si="23"/>
        <v>0</v>
      </c>
    </row>
    <row r="146" spans="1:13" s="9" customFormat="1" ht="12.75" customHeight="1" x14ac:dyDescent="0.2">
      <c r="A146" s="711"/>
      <c r="B146" s="737"/>
      <c r="C146" s="857" t="s">
        <v>311</v>
      </c>
      <c r="D146" s="858"/>
      <c r="E146" s="859"/>
      <c r="F146" s="711"/>
      <c r="G146" s="681">
        <f t="shared" si="20"/>
        <v>0</v>
      </c>
      <c r="H146" s="711"/>
      <c r="I146" s="727">
        <v>0</v>
      </c>
      <c r="J146" s="728">
        <v>0</v>
      </c>
      <c r="K146" s="728">
        <v>0</v>
      </c>
      <c r="L146" s="728">
        <v>0</v>
      </c>
      <c r="M146" s="729">
        <v>0</v>
      </c>
    </row>
    <row r="147" spans="1:13" s="9" customFormat="1" ht="12.75" customHeight="1" x14ac:dyDescent="0.2">
      <c r="A147" s="711"/>
      <c r="B147" s="737"/>
      <c r="C147" s="857" t="s">
        <v>312</v>
      </c>
      <c r="D147" s="858"/>
      <c r="E147" s="859"/>
      <c r="F147" s="711"/>
      <c r="G147" s="681">
        <f t="shared" si="20"/>
        <v>45875</v>
      </c>
      <c r="H147" s="711"/>
      <c r="I147" s="727">
        <v>45875</v>
      </c>
      <c r="J147" s="728">
        <v>0</v>
      </c>
      <c r="K147" s="728">
        <v>0</v>
      </c>
      <c r="L147" s="728">
        <v>0</v>
      </c>
      <c r="M147" s="729">
        <v>0</v>
      </c>
    </row>
    <row r="148" spans="1:13" s="9" customFormat="1" ht="12.75" x14ac:dyDescent="0.2">
      <c r="A148" s="711"/>
      <c r="B148" s="737"/>
      <c r="C148" s="860" t="s">
        <v>313</v>
      </c>
      <c r="D148" s="861"/>
      <c r="E148" s="862"/>
      <c r="F148" s="711"/>
      <c r="G148" s="733">
        <f t="shared" si="20"/>
        <v>0</v>
      </c>
      <c r="H148" s="711"/>
      <c r="I148" s="734">
        <v>0</v>
      </c>
      <c r="J148" s="735">
        <v>0</v>
      </c>
      <c r="K148" s="735">
        <v>0</v>
      </c>
      <c r="L148" s="735">
        <v>0</v>
      </c>
      <c r="M148" s="736">
        <v>0</v>
      </c>
    </row>
    <row r="149" spans="1:13" s="9" customFormat="1" ht="12.75" x14ac:dyDescent="0.2">
      <c r="A149" s="711"/>
      <c r="B149" s="737"/>
      <c r="C149" s="798"/>
      <c r="D149" s="798"/>
      <c r="E149" s="798"/>
      <c r="F149" s="711"/>
      <c r="G149" s="798"/>
      <c r="H149" s="798"/>
      <c r="I149" s="798"/>
      <c r="J149" s="798"/>
      <c r="K149" s="798"/>
      <c r="L149" s="798"/>
      <c r="M149" s="798"/>
    </row>
    <row r="150" spans="1:13" s="9" customFormat="1" ht="12.75" x14ac:dyDescent="0.2">
      <c r="A150" s="711"/>
      <c r="B150" s="737"/>
      <c r="C150" s="798"/>
      <c r="D150" s="798"/>
      <c r="E150" s="798"/>
      <c r="F150" s="798"/>
      <c r="G150" s="798"/>
      <c r="H150" s="798"/>
      <c r="I150" s="798"/>
      <c r="J150" s="798"/>
      <c r="K150" s="798"/>
      <c r="L150" s="798"/>
      <c r="M150" s="798"/>
    </row>
    <row r="151" spans="1:13" s="9" customFormat="1" ht="12" customHeight="1" x14ac:dyDescent="0.2">
      <c r="A151" s="711"/>
      <c r="B151" s="667"/>
      <c r="C151" s="667" t="s">
        <v>314</v>
      </c>
      <c r="D151" s="711"/>
      <c r="E151" s="737"/>
      <c r="F151" s="711"/>
      <c r="G151" s="798"/>
      <c r="H151" s="798"/>
      <c r="I151" s="649" t="str">
        <f>$I$13</f>
        <v>IIFS1</v>
      </c>
      <c r="J151" s="649" t="str">
        <f>J$4</f>
        <v>IIFS2</v>
      </c>
      <c r="K151" s="649" t="str">
        <f>K$4</f>
        <v>IIFS3</v>
      </c>
      <c r="L151" s="649" t="str">
        <f>L$4</f>
        <v>IIFS4</v>
      </c>
      <c r="M151" s="650" t="str">
        <f>M$4</f>
        <v>IIFS5</v>
      </c>
    </row>
    <row r="152" spans="1:13" s="9" customFormat="1" ht="12" customHeight="1" x14ac:dyDescent="0.2">
      <c r="A152" s="711"/>
      <c r="B152" s="667"/>
      <c r="C152" s="882" t="s">
        <v>275</v>
      </c>
      <c r="D152" s="883"/>
      <c r="E152" s="883"/>
      <c r="F152" s="711"/>
      <c r="G152" s="673">
        <f t="shared" ref="G152:G179" si="24">SUM(I152:M152)</f>
        <v>23353464.36506626</v>
      </c>
      <c r="H152" s="711"/>
      <c r="I152" s="795">
        <f>+I157+I153</f>
        <v>3972948.346074908</v>
      </c>
      <c r="J152" s="796">
        <f t="shared" ref="J152:M152" si="25">+J157+J153</f>
        <v>5743517.2781181354</v>
      </c>
      <c r="K152" s="796">
        <f t="shared" si="25"/>
        <v>5928002.401315188</v>
      </c>
      <c r="L152" s="796">
        <f t="shared" si="25"/>
        <v>5040768.7288856516</v>
      </c>
      <c r="M152" s="797">
        <f t="shared" si="25"/>
        <v>2668227.6106723789</v>
      </c>
    </row>
    <row r="153" spans="1:13" s="9" customFormat="1" ht="12.75" x14ac:dyDescent="0.2">
      <c r="A153" s="711"/>
      <c r="B153" s="667"/>
      <c r="C153" s="874" t="s">
        <v>276</v>
      </c>
      <c r="D153" s="875"/>
      <c r="E153" s="876"/>
      <c r="F153" s="711"/>
      <c r="G153" s="681">
        <f t="shared" si="24"/>
        <v>23353464.36506626</v>
      </c>
      <c r="H153" s="711"/>
      <c r="I153" s="770">
        <f>+SUM(I155:I156)</f>
        <v>3972948.346074908</v>
      </c>
      <c r="J153" s="771">
        <f t="shared" ref="J153:M153" si="26">+SUM(J154:J156)</f>
        <v>5743517.2781181354</v>
      </c>
      <c r="K153" s="771">
        <f t="shared" si="26"/>
        <v>5928002.401315188</v>
      </c>
      <c r="L153" s="771">
        <f t="shared" si="26"/>
        <v>5040768.7288856516</v>
      </c>
      <c r="M153" s="772">
        <f t="shared" si="26"/>
        <v>2668227.6106723789</v>
      </c>
    </row>
    <row r="154" spans="1:13" s="9" customFormat="1" ht="12.75" x14ac:dyDescent="0.2">
      <c r="A154" s="711"/>
      <c r="B154" s="667"/>
      <c r="C154" s="857" t="s">
        <v>277</v>
      </c>
      <c r="D154" s="858"/>
      <c r="E154" s="859"/>
      <c r="F154" s="711"/>
      <c r="G154" s="681">
        <f t="shared" si="24"/>
        <v>0</v>
      </c>
      <c r="H154" s="711"/>
      <c r="I154" s="799"/>
      <c r="J154" s="771"/>
      <c r="K154" s="771"/>
      <c r="L154" s="771"/>
      <c r="M154" s="772"/>
    </row>
    <row r="155" spans="1:13" s="9" customFormat="1" ht="12.75" x14ac:dyDescent="0.2">
      <c r="A155" s="711"/>
      <c r="B155" s="667"/>
      <c r="C155" s="857" t="s">
        <v>278</v>
      </c>
      <c r="D155" s="858"/>
      <c r="E155" s="859"/>
      <c r="F155" s="711"/>
      <c r="G155" s="681">
        <f>SUM(I155:M155)</f>
        <v>5629953.0730132516</v>
      </c>
      <c r="H155" s="711"/>
      <c r="I155" s="770">
        <f t="shared" ref="I155:M156" si="27">+I41+I50</f>
        <v>1014531.5692149815</v>
      </c>
      <c r="J155" s="771">
        <f t="shared" si="27"/>
        <v>1417350.4556236272</v>
      </c>
      <c r="K155" s="771">
        <f t="shared" si="27"/>
        <v>1329845.2802630377</v>
      </c>
      <c r="L155" s="771">
        <f t="shared" si="27"/>
        <v>1230264.7457771304</v>
      </c>
      <c r="M155" s="772">
        <f t="shared" si="27"/>
        <v>637961.02213447576</v>
      </c>
    </row>
    <row r="156" spans="1:13" s="9" customFormat="1" ht="12.75" x14ac:dyDescent="0.2">
      <c r="A156" s="711"/>
      <c r="B156" s="667"/>
      <c r="C156" s="857" t="s">
        <v>279</v>
      </c>
      <c r="D156" s="858"/>
      <c r="E156" s="859"/>
      <c r="F156" s="711"/>
      <c r="G156" s="681">
        <f t="shared" si="24"/>
        <v>17723511.292053007</v>
      </c>
      <c r="H156" s="711"/>
      <c r="I156" s="770">
        <f t="shared" si="27"/>
        <v>2958416.7768599265</v>
      </c>
      <c r="J156" s="771">
        <f t="shared" si="27"/>
        <v>4326166.8224945087</v>
      </c>
      <c r="K156" s="771">
        <f t="shared" si="27"/>
        <v>4598157.1210521506</v>
      </c>
      <c r="L156" s="771">
        <f t="shared" si="27"/>
        <v>3810503.9831085214</v>
      </c>
      <c r="M156" s="772">
        <f t="shared" si="27"/>
        <v>2030266.588537903</v>
      </c>
    </row>
    <row r="157" spans="1:13" s="9" customFormat="1" ht="12.75" x14ac:dyDescent="0.2">
      <c r="A157" s="711"/>
      <c r="B157" s="667"/>
      <c r="C157" s="860" t="s">
        <v>303</v>
      </c>
      <c r="D157" s="861"/>
      <c r="E157" s="862"/>
      <c r="F157" s="711"/>
      <c r="G157" s="681">
        <f t="shared" si="24"/>
        <v>0</v>
      </c>
      <c r="H157" s="711"/>
      <c r="I157" s="770">
        <v>0</v>
      </c>
      <c r="J157" s="771">
        <v>0</v>
      </c>
      <c r="K157" s="771">
        <v>0</v>
      </c>
      <c r="L157" s="771">
        <v>0</v>
      </c>
      <c r="M157" s="772">
        <v>0</v>
      </c>
    </row>
    <row r="158" spans="1:13" s="9" customFormat="1" ht="12.75" x14ac:dyDescent="0.2">
      <c r="A158" s="711"/>
      <c r="B158" s="667"/>
      <c r="C158" s="877" t="s">
        <v>280</v>
      </c>
      <c r="D158" s="878"/>
      <c r="E158" s="878"/>
      <c r="F158" s="711"/>
      <c r="G158" s="681">
        <f t="shared" si="24"/>
        <v>0</v>
      </c>
      <c r="H158" s="711"/>
      <c r="I158" s="770"/>
      <c r="J158" s="771"/>
      <c r="K158" s="771"/>
      <c r="L158" s="771"/>
      <c r="M158" s="772"/>
    </row>
    <row r="159" spans="1:13" s="9" customFormat="1" ht="12.75" x14ac:dyDescent="0.2">
      <c r="A159" s="711"/>
      <c r="B159" s="667"/>
      <c r="C159" s="874" t="s">
        <v>281</v>
      </c>
      <c r="D159" s="875"/>
      <c r="E159" s="876"/>
      <c r="F159" s="711"/>
      <c r="G159" s="681">
        <f t="shared" si="24"/>
        <v>0</v>
      </c>
      <c r="H159" s="711"/>
      <c r="I159" s="770"/>
      <c r="J159" s="771"/>
      <c r="K159" s="771"/>
      <c r="L159" s="771"/>
      <c r="M159" s="772"/>
    </row>
    <row r="160" spans="1:13" s="9" customFormat="1" ht="12.75" x14ac:dyDescent="0.2">
      <c r="A160" s="711"/>
      <c r="B160" s="667"/>
      <c r="C160" s="857" t="s">
        <v>278</v>
      </c>
      <c r="D160" s="858"/>
      <c r="E160" s="859"/>
      <c r="F160" s="711"/>
      <c r="G160" s="681">
        <f t="shared" si="24"/>
        <v>7560830.6786755025</v>
      </c>
      <c r="H160" s="711"/>
      <c r="I160" s="770">
        <f>+I44+(I52*0.3)</f>
        <v>1290737.4194766544</v>
      </c>
      <c r="J160" s="771">
        <f>+J44+(J52*0.3)</f>
        <v>1472952.5637490847</v>
      </c>
      <c r="K160" s="771">
        <f>+K44+(K52*0.3)</f>
        <v>2027407.8101753583</v>
      </c>
      <c r="L160" s="771">
        <f>+L44+(L52*0.3)</f>
        <v>1330857.5571847537</v>
      </c>
      <c r="M160" s="772">
        <f>+M44+(M52*0.3)</f>
        <v>1438875.3280896505</v>
      </c>
    </row>
    <row r="161" spans="1:13" s="9" customFormat="1" ht="12.75" x14ac:dyDescent="0.2">
      <c r="A161" s="711"/>
      <c r="B161" s="667"/>
      <c r="C161" s="857" t="s">
        <v>282</v>
      </c>
      <c r="D161" s="858"/>
      <c r="E161" s="859"/>
      <c r="F161" s="711"/>
      <c r="G161" s="681">
        <f t="shared" si="24"/>
        <v>11525999.421324499</v>
      </c>
      <c r="H161" s="711"/>
      <c r="I161" s="770">
        <f>+I52-I160</f>
        <v>2223485.3805233454</v>
      </c>
      <c r="J161" s="771">
        <f>+J52-J160</f>
        <v>2078201.6362509155</v>
      </c>
      <c r="K161" s="771">
        <f>+K52-K160</f>
        <v>2737038.4898246415</v>
      </c>
      <c r="L161" s="771">
        <f>+L52-L160</f>
        <v>1852152.6428152465</v>
      </c>
      <c r="M161" s="772">
        <f>+M52-M160</f>
        <v>2635121.2719103498</v>
      </c>
    </row>
    <row r="162" spans="1:13" s="9" customFormat="1" ht="12.75" x14ac:dyDescent="0.2">
      <c r="A162" s="711"/>
      <c r="B162" s="667"/>
      <c r="C162" s="857" t="s">
        <v>283</v>
      </c>
      <c r="D162" s="858"/>
      <c r="E162" s="859"/>
      <c r="F162" s="711"/>
      <c r="G162" s="681">
        <f t="shared" si="24"/>
        <v>1587399.5999999999</v>
      </c>
      <c r="H162" s="711"/>
      <c r="I162" s="770">
        <f>I54</f>
        <v>270947</v>
      </c>
      <c r="J162" s="771">
        <f>J54</f>
        <v>347628</v>
      </c>
      <c r="K162" s="771">
        <f>K54</f>
        <v>378254</v>
      </c>
      <c r="L162" s="771">
        <f>L54</f>
        <v>228844.40000000002</v>
      </c>
      <c r="M162" s="772">
        <f>M54</f>
        <v>361726.2</v>
      </c>
    </row>
    <row r="163" spans="1:13" s="9" customFormat="1" ht="12.75" x14ac:dyDescent="0.2">
      <c r="A163" s="711"/>
      <c r="B163" s="667"/>
      <c r="C163" s="857" t="s">
        <v>284</v>
      </c>
      <c r="D163" s="858"/>
      <c r="E163" s="859"/>
      <c r="F163" s="711"/>
      <c r="G163" s="681">
        <f t="shared" si="24"/>
        <v>0</v>
      </c>
      <c r="H163" s="711"/>
      <c r="I163" s="770">
        <v>0</v>
      </c>
      <c r="J163" s="771">
        <v>0</v>
      </c>
      <c r="K163" s="771">
        <v>0</v>
      </c>
      <c r="L163" s="771">
        <v>0</v>
      </c>
      <c r="M163" s="772">
        <v>0</v>
      </c>
    </row>
    <row r="164" spans="1:13" s="9" customFormat="1" ht="12.75" x14ac:dyDescent="0.2">
      <c r="A164" s="711"/>
      <c r="B164" s="667"/>
      <c r="C164" s="857" t="s">
        <v>285</v>
      </c>
      <c r="D164" s="858"/>
      <c r="E164" s="859"/>
      <c r="F164" s="711"/>
      <c r="G164" s="681">
        <f t="shared" si="24"/>
        <v>991451.60000000009</v>
      </c>
      <c r="H164" s="711"/>
      <c r="I164" s="770">
        <f t="shared" ref="I164:M165" si="28">I55</f>
        <v>313988.40000000002</v>
      </c>
      <c r="J164" s="771">
        <f t="shared" si="28"/>
        <v>123749</v>
      </c>
      <c r="K164" s="771">
        <f t="shared" si="28"/>
        <v>258840</v>
      </c>
      <c r="L164" s="771">
        <f t="shared" si="28"/>
        <v>114422.20000000001</v>
      </c>
      <c r="M164" s="772">
        <f t="shared" si="28"/>
        <v>180452</v>
      </c>
    </row>
    <row r="165" spans="1:13" s="9" customFormat="1" ht="12.75" x14ac:dyDescent="0.2">
      <c r="A165" s="711"/>
      <c r="B165" s="667"/>
      <c r="C165" s="857" t="s">
        <v>286</v>
      </c>
      <c r="D165" s="858"/>
      <c r="E165" s="859"/>
      <c r="F165" s="711"/>
      <c r="G165" s="681">
        <f t="shared" si="24"/>
        <v>5684378.6999999993</v>
      </c>
      <c r="H165" s="711"/>
      <c r="I165" s="770">
        <f t="shared" si="28"/>
        <v>883930.4</v>
      </c>
      <c r="J165" s="771">
        <f t="shared" si="28"/>
        <v>1012376</v>
      </c>
      <c r="K165" s="771">
        <f t="shared" si="28"/>
        <v>1133093.7</v>
      </c>
      <c r="L165" s="771">
        <f t="shared" si="28"/>
        <v>1026800</v>
      </c>
      <c r="M165" s="772">
        <f t="shared" si="28"/>
        <v>1628178.6</v>
      </c>
    </row>
    <row r="166" spans="1:13" s="9" customFormat="1" ht="12.75" x14ac:dyDescent="0.2">
      <c r="A166" s="711"/>
      <c r="B166" s="667"/>
      <c r="C166" s="857" t="s">
        <v>287</v>
      </c>
      <c r="D166" s="858"/>
      <c r="E166" s="859"/>
      <c r="F166" s="711"/>
      <c r="G166" s="681">
        <f t="shared" si="24"/>
        <v>0</v>
      </c>
      <c r="H166" s="711"/>
      <c r="I166" s="770">
        <v>0</v>
      </c>
      <c r="J166" s="771">
        <v>0</v>
      </c>
      <c r="K166" s="771">
        <v>0</v>
      </c>
      <c r="L166" s="771">
        <v>0</v>
      </c>
      <c r="M166" s="772">
        <v>0</v>
      </c>
    </row>
    <row r="167" spans="1:13" s="9" customFormat="1" ht="12.75" x14ac:dyDescent="0.2">
      <c r="A167" s="711"/>
      <c r="B167" s="667"/>
      <c r="C167" s="860" t="s">
        <v>288</v>
      </c>
      <c r="D167" s="861"/>
      <c r="E167" s="862"/>
      <c r="F167" s="711"/>
      <c r="G167" s="681">
        <f t="shared" si="24"/>
        <v>0</v>
      </c>
      <c r="H167" s="711"/>
      <c r="I167" s="770"/>
      <c r="J167" s="771"/>
      <c r="K167" s="771"/>
      <c r="L167" s="771"/>
      <c r="M167" s="772"/>
    </row>
    <row r="168" spans="1:13" s="9" customFormat="1" ht="12" customHeight="1" x14ac:dyDescent="0.2">
      <c r="A168" s="711"/>
      <c r="B168" s="667"/>
      <c r="C168" s="877" t="s">
        <v>289</v>
      </c>
      <c r="D168" s="878"/>
      <c r="E168" s="878"/>
      <c r="F168" s="711"/>
      <c r="G168" s="681">
        <f t="shared" si="24"/>
        <v>0</v>
      </c>
      <c r="H168" s="711"/>
      <c r="I168" s="770"/>
      <c r="J168" s="771"/>
      <c r="K168" s="771"/>
      <c r="L168" s="771"/>
      <c r="M168" s="772"/>
    </row>
    <row r="169" spans="1:13" s="9" customFormat="1" ht="12.75" x14ac:dyDescent="0.2">
      <c r="A169" s="711"/>
      <c r="B169" s="667"/>
      <c r="C169" s="874" t="s">
        <v>290</v>
      </c>
      <c r="D169" s="875"/>
      <c r="E169" s="876"/>
      <c r="F169" s="711"/>
      <c r="G169" s="681">
        <f t="shared" si="24"/>
        <v>113604</v>
      </c>
      <c r="H169" s="711"/>
      <c r="I169" s="770">
        <f>I120</f>
        <v>2914</v>
      </c>
      <c r="J169" s="771">
        <f t="shared" ref="J169:M169" si="29">J120</f>
        <v>18987</v>
      </c>
      <c r="K169" s="771">
        <f t="shared" si="29"/>
        <v>21582</v>
      </c>
      <c r="L169" s="771">
        <f t="shared" si="29"/>
        <v>4319</v>
      </c>
      <c r="M169" s="772">
        <f t="shared" si="29"/>
        <v>65802</v>
      </c>
    </row>
    <row r="170" spans="1:13" s="9" customFormat="1" ht="12.75" x14ac:dyDescent="0.2">
      <c r="A170" s="711"/>
      <c r="B170" s="667"/>
      <c r="C170" s="857" t="s">
        <v>291</v>
      </c>
      <c r="D170" s="858"/>
      <c r="E170" s="859"/>
      <c r="F170" s="711"/>
      <c r="G170" s="681">
        <f t="shared" si="24"/>
        <v>170405</v>
      </c>
      <c r="H170" s="711"/>
      <c r="I170" s="770">
        <f t="shared" ref="I170:M174" si="30">I121</f>
        <v>4370</v>
      </c>
      <c r="J170" s="771">
        <f t="shared" si="30"/>
        <v>28480</v>
      </c>
      <c r="K170" s="771">
        <f t="shared" si="30"/>
        <v>32374</v>
      </c>
      <c r="L170" s="771">
        <f t="shared" si="30"/>
        <v>6478</v>
      </c>
      <c r="M170" s="772">
        <f t="shared" si="30"/>
        <v>98703</v>
      </c>
    </row>
    <row r="171" spans="1:13" s="9" customFormat="1" ht="12.75" x14ac:dyDescent="0.2">
      <c r="A171" s="711"/>
      <c r="B171" s="667"/>
      <c r="C171" s="857" t="s">
        <v>292</v>
      </c>
      <c r="D171" s="858"/>
      <c r="E171" s="859"/>
      <c r="F171" s="711"/>
      <c r="G171" s="681">
        <f t="shared" si="24"/>
        <v>113604</v>
      </c>
      <c r="H171" s="711"/>
      <c r="I171" s="770">
        <f t="shared" si="30"/>
        <v>2914</v>
      </c>
      <c r="J171" s="771">
        <f t="shared" si="30"/>
        <v>18987</v>
      </c>
      <c r="K171" s="771">
        <f t="shared" si="30"/>
        <v>21582</v>
      </c>
      <c r="L171" s="771">
        <f t="shared" si="30"/>
        <v>4319</v>
      </c>
      <c r="M171" s="772">
        <f t="shared" si="30"/>
        <v>65802</v>
      </c>
    </row>
    <row r="172" spans="1:13" s="9" customFormat="1" ht="12.75" x14ac:dyDescent="0.2">
      <c r="A172" s="711"/>
      <c r="B172" s="667"/>
      <c r="C172" s="857" t="s">
        <v>293</v>
      </c>
      <c r="D172" s="858"/>
      <c r="E172" s="859"/>
      <c r="F172" s="711"/>
      <c r="G172" s="681">
        <f t="shared" si="24"/>
        <v>0</v>
      </c>
      <c r="H172" s="711"/>
      <c r="I172" s="770">
        <f t="shared" si="30"/>
        <v>0</v>
      </c>
      <c r="J172" s="771">
        <v>0</v>
      </c>
      <c r="K172" s="771">
        <v>0</v>
      </c>
      <c r="L172" s="771">
        <v>0</v>
      </c>
      <c r="M172" s="772">
        <v>0</v>
      </c>
    </row>
    <row r="173" spans="1:13" s="9" customFormat="1" ht="12.75" x14ac:dyDescent="0.2">
      <c r="A173" s="711"/>
      <c r="B173" s="667"/>
      <c r="C173" s="857" t="s">
        <v>4</v>
      </c>
      <c r="D173" s="858"/>
      <c r="E173" s="859"/>
      <c r="F173" s="711"/>
      <c r="G173" s="681">
        <f t="shared" si="24"/>
        <v>0</v>
      </c>
      <c r="H173" s="711"/>
      <c r="I173" s="770">
        <f t="shared" si="30"/>
        <v>0</v>
      </c>
      <c r="J173" s="771">
        <v>0</v>
      </c>
      <c r="K173" s="771">
        <v>0</v>
      </c>
      <c r="L173" s="771">
        <v>0</v>
      </c>
      <c r="M173" s="772">
        <v>0</v>
      </c>
    </row>
    <row r="174" spans="1:13" s="9" customFormat="1" ht="12.75" x14ac:dyDescent="0.2">
      <c r="A174" s="711"/>
      <c r="B174" s="667"/>
      <c r="C174" s="860" t="s">
        <v>294</v>
      </c>
      <c r="D174" s="861"/>
      <c r="E174" s="862"/>
      <c r="F174" s="711"/>
      <c r="G174" s="681">
        <f t="shared" si="24"/>
        <v>0</v>
      </c>
      <c r="H174" s="711"/>
      <c r="I174" s="770">
        <f t="shared" si="30"/>
        <v>0</v>
      </c>
      <c r="J174" s="771">
        <v>0</v>
      </c>
      <c r="K174" s="771">
        <v>0</v>
      </c>
      <c r="L174" s="771">
        <v>0</v>
      </c>
      <c r="M174" s="772">
        <v>0</v>
      </c>
    </row>
    <row r="175" spans="1:13" s="9" customFormat="1" ht="12" customHeight="1" x14ac:dyDescent="0.2">
      <c r="A175" s="711"/>
      <c r="B175" s="667"/>
      <c r="C175" s="877" t="s">
        <v>315</v>
      </c>
      <c r="D175" s="878"/>
      <c r="E175" s="878"/>
      <c r="F175" s="711"/>
      <c r="G175" s="681">
        <f t="shared" si="24"/>
        <v>0</v>
      </c>
      <c r="H175" s="711"/>
      <c r="I175" s="770"/>
      <c r="J175" s="771"/>
      <c r="K175" s="771"/>
      <c r="L175" s="771"/>
      <c r="M175" s="772"/>
    </row>
    <row r="176" spans="1:13" s="9" customFormat="1" ht="12.75" x14ac:dyDescent="0.2">
      <c r="A176" s="711"/>
      <c r="B176" s="737"/>
      <c r="C176" s="874" t="s">
        <v>296</v>
      </c>
      <c r="D176" s="875"/>
      <c r="E176" s="876"/>
      <c r="F176" s="711"/>
      <c r="G176" s="681">
        <f t="shared" si="24"/>
        <v>0</v>
      </c>
      <c r="H176" s="711"/>
      <c r="I176" s="770"/>
      <c r="J176" s="771"/>
      <c r="K176" s="771"/>
      <c r="L176" s="771"/>
      <c r="M176" s="772"/>
    </row>
    <row r="177" spans="1:13" s="9" customFormat="1" ht="12.75" x14ac:dyDescent="0.2">
      <c r="A177" s="711"/>
      <c r="B177" s="737"/>
      <c r="C177" s="857" t="s">
        <v>297</v>
      </c>
      <c r="D177" s="858"/>
      <c r="E177" s="859"/>
      <c r="F177" s="711"/>
      <c r="G177" s="681">
        <f t="shared" si="24"/>
        <v>0</v>
      </c>
      <c r="H177" s="711"/>
      <c r="I177" s="770"/>
      <c r="J177" s="771"/>
      <c r="K177" s="771"/>
      <c r="L177" s="771"/>
      <c r="M177" s="772"/>
    </row>
    <row r="178" spans="1:13" s="9" customFormat="1" ht="12.75" x14ac:dyDescent="0.2">
      <c r="A178" s="711"/>
      <c r="B178" s="737"/>
      <c r="C178" s="857" t="s">
        <v>298</v>
      </c>
      <c r="D178" s="858"/>
      <c r="E178" s="859"/>
      <c r="F178" s="711"/>
      <c r="G178" s="681">
        <f t="shared" si="24"/>
        <v>0</v>
      </c>
      <c r="H178" s="711"/>
      <c r="I178" s="770"/>
      <c r="J178" s="771"/>
      <c r="K178" s="771"/>
      <c r="L178" s="771"/>
      <c r="M178" s="772"/>
    </row>
    <row r="179" spans="1:13" s="9" customFormat="1" ht="12.75" x14ac:dyDescent="0.2">
      <c r="A179" s="711"/>
      <c r="B179" s="737"/>
      <c r="C179" s="857" t="s">
        <v>299</v>
      </c>
      <c r="D179" s="858"/>
      <c r="E179" s="859"/>
      <c r="F179" s="711"/>
      <c r="G179" s="681">
        <f t="shared" si="24"/>
        <v>0</v>
      </c>
      <c r="H179" s="711"/>
      <c r="I179" s="770"/>
      <c r="J179" s="771"/>
      <c r="K179" s="771"/>
      <c r="L179" s="771"/>
      <c r="M179" s="772"/>
    </row>
    <row r="180" spans="1:13" s="9" customFormat="1" ht="12.75" x14ac:dyDescent="0.2">
      <c r="A180" s="711"/>
      <c r="B180" s="737"/>
      <c r="C180" s="857" t="s">
        <v>300</v>
      </c>
      <c r="D180" s="858"/>
      <c r="E180" s="859"/>
      <c r="F180" s="711"/>
      <c r="G180" s="681">
        <f t="shared" ref="G180:G189" si="31">SUM(I180:M180)</f>
        <v>0</v>
      </c>
      <c r="H180" s="711"/>
      <c r="I180" s="770"/>
      <c r="J180" s="771"/>
      <c r="K180" s="771"/>
      <c r="L180" s="771"/>
      <c r="M180" s="772"/>
    </row>
    <row r="181" spans="1:13" s="9" customFormat="1" ht="12.75" x14ac:dyDescent="0.2">
      <c r="A181" s="711"/>
      <c r="B181" s="737"/>
      <c r="C181" s="857" t="s">
        <v>301</v>
      </c>
      <c r="D181" s="858"/>
      <c r="E181" s="859"/>
      <c r="F181" s="711"/>
      <c r="G181" s="681">
        <f t="shared" si="31"/>
        <v>0</v>
      </c>
      <c r="H181" s="711"/>
      <c r="I181" s="770"/>
      <c r="J181" s="771"/>
      <c r="K181" s="771"/>
      <c r="L181" s="771"/>
      <c r="M181" s="772"/>
    </row>
    <row r="182" spans="1:13" s="9" customFormat="1" ht="12.75" x14ac:dyDescent="0.2">
      <c r="A182" s="711"/>
      <c r="B182" s="737"/>
      <c r="C182" s="857" t="s">
        <v>302</v>
      </c>
      <c r="D182" s="858"/>
      <c r="E182" s="859"/>
      <c r="F182" s="711"/>
      <c r="G182" s="681">
        <f t="shared" si="31"/>
        <v>0</v>
      </c>
      <c r="H182" s="711"/>
      <c r="I182" s="770"/>
      <c r="J182" s="771"/>
      <c r="K182" s="771"/>
      <c r="L182" s="771"/>
      <c r="M182" s="772"/>
    </row>
    <row r="183" spans="1:13" s="9" customFormat="1" ht="12.75" x14ac:dyDescent="0.2">
      <c r="A183" s="711"/>
      <c r="B183" s="737"/>
      <c r="C183" s="857" t="s">
        <v>32</v>
      </c>
      <c r="D183" s="872"/>
      <c r="E183" s="873"/>
      <c r="F183" s="711"/>
      <c r="G183" s="681"/>
      <c r="H183" s="711"/>
      <c r="I183" s="770"/>
      <c r="J183" s="771"/>
      <c r="K183" s="771"/>
      <c r="L183" s="771"/>
      <c r="M183" s="772"/>
    </row>
    <row r="184" spans="1:13" s="9" customFormat="1" ht="12.75" x14ac:dyDescent="0.2">
      <c r="A184" s="711"/>
      <c r="B184" s="737"/>
      <c r="C184" s="857" t="s">
        <v>33</v>
      </c>
      <c r="D184" s="858"/>
      <c r="E184" s="859"/>
      <c r="F184" s="711"/>
      <c r="G184" s="681">
        <f t="shared" si="31"/>
        <v>0</v>
      </c>
      <c r="H184" s="711"/>
      <c r="I184" s="770"/>
      <c r="J184" s="771"/>
      <c r="K184" s="771"/>
      <c r="L184" s="771"/>
      <c r="M184" s="772"/>
    </row>
    <row r="185" spans="1:13" s="9" customFormat="1" ht="12.75" x14ac:dyDescent="0.2">
      <c r="A185" s="711"/>
      <c r="B185" s="737"/>
      <c r="C185" s="857" t="s">
        <v>34</v>
      </c>
      <c r="D185" s="858"/>
      <c r="E185" s="859"/>
      <c r="F185" s="711"/>
      <c r="G185" s="681">
        <f t="shared" si="31"/>
        <v>0</v>
      </c>
      <c r="H185" s="711"/>
      <c r="I185" s="770"/>
      <c r="J185" s="771"/>
      <c r="K185" s="771"/>
      <c r="L185" s="771"/>
      <c r="M185" s="772"/>
    </row>
    <row r="186" spans="1:13" s="9" customFormat="1" ht="12.75" x14ac:dyDescent="0.2">
      <c r="A186" s="711"/>
      <c r="B186" s="737"/>
      <c r="C186" s="857" t="s">
        <v>35</v>
      </c>
      <c r="D186" s="858"/>
      <c r="E186" s="859"/>
      <c r="F186" s="711"/>
      <c r="G186" s="681">
        <f t="shared" si="31"/>
        <v>0</v>
      </c>
      <c r="H186" s="711"/>
      <c r="I186" s="770"/>
      <c r="J186" s="771"/>
      <c r="K186" s="771"/>
      <c r="L186" s="771"/>
      <c r="M186" s="772"/>
    </row>
    <row r="187" spans="1:13" s="9" customFormat="1" ht="12.75" x14ac:dyDescent="0.2">
      <c r="A187" s="711"/>
      <c r="B187" s="737"/>
      <c r="C187" s="857" t="s">
        <v>36</v>
      </c>
      <c r="D187" s="858"/>
      <c r="E187" s="859"/>
      <c r="F187" s="711"/>
      <c r="G187" s="681">
        <f t="shared" si="31"/>
        <v>0</v>
      </c>
      <c r="H187" s="711"/>
      <c r="I187" s="770"/>
      <c r="J187" s="771"/>
      <c r="K187" s="771"/>
      <c r="L187" s="771"/>
      <c r="M187" s="772"/>
    </row>
    <row r="188" spans="1:13" s="9" customFormat="1" ht="12.75" x14ac:dyDescent="0.2">
      <c r="A188" s="711"/>
      <c r="B188" s="737"/>
      <c r="C188" s="857" t="s">
        <v>37</v>
      </c>
      <c r="D188" s="858"/>
      <c r="E188" s="859"/>
      <c r="F188" s="711"/>
      <c r="G188" s="681">
        <f t="shared" si="31"/>
        <v>0</v>
      </c>
      <c r="H188" s="711"/>
      <c r="I188" s="770"/>
      <c r="J188" s="771"/>
      <c r="K188" s="771"/>
      <c r="L188" s="771"/>
      <c r="M188" s="772"/>
    </row>
    <row r="189" spans="1:13" s="9" customFormat="1" ht="12.75" x14ac:dyDescent="0.2">
      <c r="A189" s="711"/>
      <c r="B189" s="737"/>
      <c r="C189" s="860" t="s">
        <v>185</v>
      </c>
      <c r="D189" s="861"/>
      <c r="E189" s="862"/>
      <c r="F189" s="711"/>
      <c r="G189" s="733">
        <f t="shared" si="31"/>
        <v>0</v>
      </c>
      <c r="H189" s="711"/>
      <c r="I189" s="800"/>
      <c r="J189" s="801"/>
      <c r="K189" s="801"/>
      <c r="L189" s="801"/>
      <c r="M189" s="802"/>
    </row>
    <row r="190" spans="1:13" s="9" customFormat="1" ht="12.75" x14ac:dyDescent="0.2">
      <c r="A190" s="711"/>
      <c r="B190" s="737"/>
      <c r="C190" s="803"/>
      <c r="D190" s="803"/>
      <c r="E190" s="803"/>
      <c r="F190" s="711"/>
      <c r="G190" s="804"/>
      <c r="H190" s="711"/>
      <c r="I190" s="805"/>
      <c r="J190" s="805"/>
      <c r="K190" s="805"/>
      <c r="L190" s="805"/>
      <c r="M190" s="805"/>
    </row>
    <row r="191" spans="1:13" s="8" customFormat="1" ht="12.75" x14ac:dyDescent="0.2">
      <c r="A191" s="711"/>
      <c r="B191" s="667" t="s">
        <v>75</v>
      </c>
      <c r="C191" s="782"/>
      <c r="D191" s="711"/>
      <c r="E191" s="737"/>
      <c r="F191" s="711"/>
      <c r="G191" s="806"/>
      <c r="H191" s="711"/>
      <c r="I191" s="711"/>
      <c r="J191" s="711"/>
      <c r="K191" s="711"/>
      <c r="L191" s="711"/>
      <c r="M191" s="711"/>
    </row>
    <row r="192" spans="1:13" s="8" customFormat="1" ht="12.75" x14ac:dyDescent="0.2">
      <c r="A192" s="711"/>
      <c r="B192" s="667" t="s">
        <v>136</v>
      </c>
      <c r="C192" s="782"/>
      <c r="D192" s="711"/>
      <c r="E192" s="737"/>
      <c r="F192" s="711"/>
      <c r="G192" s="806"/>
      <c r="H192" s="711"/>
      <c r="I192" s="649" t="str">
        <f>$I$13</f>
        <v>IIFS1</v>
      </c>
      <c r="J192" s="649" t="str">
        <f>J$4</f>
        <v>IIFS2</v>
      </c>
      <c r="K192" s="649" t="str">
        <f>K$4</f>
        <v>IIFS3</v>
      </c>
      <c r="L192" s="649" t="str">
        <f>L$4</f>
        <v>IIFS4</v>
      </c>
      <c r="M192" s="650" t="str">
        <f>M$4</f>
        <v>IIFS5</v>
      </c>
    </row>
    <row r="193" spans="1:13" s="8" customFormat="1" ht="15" customHeight="1" x14ac:dyDescent="0.2">
      <c r="A193" s="711"/>
      <c r="B193" s="667"/>
      <c r="C193" s="869" t="s">
        <v>274</v>
      </c>
      <c r="D193" s="870"/>
      <c r="E193" s="871"/>
      <c r="F193" s="711"/>
      <c r="G193" s="673">
        <f>SUM(I193:M193)</f>
        <v>114942</v>
      </c>
      <c r="H193" s="711"/>
      <c r="I193" s="785">
        <v>0</v>
      </c>
      <c r="J193" s="786">
        <v>21789</v>
      </c>
      <c r="K193" s="786">
        <v>30260</v>
      </c>
      <c r="L193" s="786">
        <v>7680</v>
      </c>
      <c r="M193" s="787">
        <v>55213</v>
      </c>
    </row>
    <row r="194" spans="1:13" s="9" customFormat="1" ht="12.75" x14ac:dyDescent="0.2">
      <c r="A194" s="711"/>
      <c r="B194" s="737"/>
      <c r="C194" s="887" t="s">
        <v>5</v>
      </c>
      <c r="D194" s="888"/>
      <c r="E194" s="889"/>
      <c r="F194" s="711"/>
      <c r="G194" s="681">
        <f>SUM(I194:M194)</f>
        <v>2902963</v>
      </c>
      <c r="H194" s="711"/>
      <c r="I194" s="727">
        <v>444310</v>
      </c>
      <c r="J194" s="728">
        <v>1723810</v>
      </c>
      <c r="K194" s="728">
        <v>287398</v>
      </c>
      <c r="L194" s="728">
        <v>199176</v>
      </c>
      <c r="M194" s="729">
        <v>248269</v>
      </c>
    </row>
    <row r="195" spans="1:13" s="9" customFormat="1" ht="12.75" x14ac:dyDescent="0.2">
      <c r="A195" s="711"/>
      <c r="B195" s="737"/>
      <c r="C195" s="887" t="s">
        <v>6</v>
      </c>
      <c r="D195" s="888"/>
      <c r="E195" s="889"/>
      <c r="F195" s="711"/>
      <c r="G195" s="681">
        <f>SUM(I195:M195)</f>
        <v>6959378</v>
      </c>
      <c r="H195" s="711"/>
      <c r="I195" s="727">
        <v>2017559</v>
      </c>
      <c r="J195" s="728">
        <v>1143337</v>
      </c>
      <c r="K195" s="728">
        <v>1422941</v>
      </c>
      <c r="L195" s="728">
        <v>1379442</v>
      </c>
      <c r="M195" s="729">
        <v>996099</v>
      </c>
    </row>
    <row r="196" spans="1:13" s="9" customFormat="1" ht="12.75" x14ac:dyDescent="0.2">
      <c r="A196" s="711"/>
      <c r="B196" s="737"/>
      <c r="C196" s="887" t="s">
        <v>272</v>
      </c>
      <c r="D196" s="888"/>
      <c r="E196" s="889"/>
      <c r="F196" s="711"/>
      <c r="G196" s="681">
        <f>SUM(I196:M196)</f>
        <v>11598965</v>
      </c>
      <c r="H196" s="711"/>
      <c r="I196" s="727">
        <v>3362599</v>
      </c>
      <c r="J196" s="728">
        <v>1905562</v>
      </c>
      <c r="K196" s="728">
        <v>2371569</v>
      </c>
      <c r="L196" s="728">
        <v>2299070</v>
      </c>
      <c r="M196" s="729">
        <v>1660165</v>
      </c>
    </row>
    <row r="197" spans="1:13" s="9" customFormat="1" ht="12.75" x14ac:dyDescent="0.2">
      <c r="A197" s="711"/>
      <c r="B197" s="737"/>
      <c r="C197" s="866" t="s">
        <v>273</v>
      </c>
      <c r="D197" s="867"/>
      <c r="E197" s="868"/>
      <c r="F197" s="711"/>
      <c r="G197" s="733">
        <f>SUM(I197:M197)</f>
        <v>40252867</v>
      </c>
      <c r="H197" s="711"/>
      <c r="I197" s="734">
        <v>10345435</v>
      </c>
      <c r="J197" s="735">
        <v>8453543</v>
      </c>
      <c r="K197" s="735">
        <v>7545667</v>
      </c>
      <c r="L197" s="735">
        <v>7453545</v>
      </c>
      <c r="M197" s="736">
        <v>6454677</v>
      </c>
    </row>
    <row r="198" spans="1:13" s="9" customFormat="1" ht="12" customHeight="1" x14ac:dyDescent="0.2">
      <c r="A198" s="807"/>
      <c r="B198" s="808"/>
      <c r="C198" s="809"/>
      <c r="D198" s="807"/>
      <c r="E198" s="808"/>
      <c r="F198" s="807"/>
      <c r="G198" s="809"/>
      <c r="H198" s="807"/>
      <c r="I198" s="807"/>
      <c r="J198" s="807"/>
      <c r="K198" s="807"/>
      <c r="L198" s="807"/>
      <c r="M198" s="807"/>
    </row>
    <row r="199" spans="1:13" s="8" customFormat="1" ht="12.75" x14ac:dyDescent="0.2">
      <c r="A199" s="711"/>
      <c r="B199" s="667" t="s">
        <v>138</v>
      </c>
      <c r="C199" s="782"/>
      <c r="D199" s="711"/>
      <c r="E199" s="737"/>
      <c r="F199" s="711"/>
      <c r="G199" s="806"/>
      <c r="H199" s="711"/>
      <c r="I199" s="649" t="str">
        <f>$I$13</f>
        <v>IIFS1</v>
      </c>
      <c r="J199" s="649" t="str">
        <f>J$4</f>
        <v>IIFS2</v>
      </c>
      <c r="K199" s="649" t="str">
        <f>K$4</f>
        <v>IIFS3</v>
      </c>
      <c r="L199" s="649" t="str">
        <f>L$4</f>
        <v>IIFS4</v>
      </c>
      <c r="M199" s="650" t="str">
        <f>M$4</f>
        <v>IIFS5</v>
      </c>
    </row>
    <row r="200" spans="1:13" s="8" customFormat="1" ht="12.75" x14ac:dyDescent="0.2">
      <c r="A200" s="711"/>
      <c r="B200" s="667"/>
      <c r="C200" s="869" t="s">
        <v>186</v>
      </c>
      <c r="D200" s="870"/>
      <c r="E200" s="871"/>
      <c r="F200" s="711"/>
      <c r="G200" s="673">
        <f>SUM(I200:M200)</f>
        <v>1238526</v>
      </c>
      <c r="H200" s="711"/>
      <c r="I200" s="785">
        <f>I91</f>
        <v>550408</v>
      </c>
      <c r="J200" s="786">
        <f t="shared" ref="J200:M200" si="32">J91</f>
        <v>45876</v>
      </c>
      <c r="K200" s="786">
        <f t="shared" si="32"/>
        <v>120454</v>
      </c>
      <c r="L200" s="786">
        <f t="shared" si="32"/>
        <v>454344</v>
      </c>
      <c r="M200" s="787">
        <f t="shared" si="32"/>
        <v>67444</v>
      </c>
    </row>
    <row r="201" spans="1:13" s="9" customFormat="1" ht="12.75" x14ac:dyDescent="0.2">
      <c r="A201" s="711"/>
      <c r="B201" s="737"/>
      <c r="C201" s="863" t="s">
        <v>187</v>
      </c>
      <c r="D201" s="864"/>
      <c r="E201" s="865"/>
      <c r="F201" s="711"/>
      <c r="G201" s="681">
        <f>SUM(I201:M201)</f>
        <v>23944222</v>
      </c>
      <c r="H201" s="711"/>
      <c r="I201" s="727">
        <f>I135-I200</f>
        <v>2939268</v>
      </c>
      <c r="J201" s="728">
        <f t="shared" ref="J201:M201" si="33">J135-J200</f>
        <v>5896891</v>
      </c>
      <c r="K201" s="728">
        <f t="shared" si="33"/>
        <v>4361298</v>
      </c>
      <c r="L201" s="728">
        <f t="shared" si="33"/>
        <v>4626569</v>
      </c>
      <c r="M201" s="729">
        <f t="shared" si="33"/>
        <v>6120196</v>
      </c>
    </row>
    <row r="202" spans="1:13" s="9" customFormat="1" ht="12.75" x14ac:dyDescent="0.2">
      <c r="A202" s="711"/>
      <c r="B202" s="737"/>
      <c r="C202" s="863" t="s">
        <v>7</v>
      </c>
      <c r="D202" s="864"/>
      <c r="E202" s="865"/>
      <c r="F202" s="711"/>
      <c r="G202" s="681">
        <f>SUM(I202:M202)</f>
        <v>6959378</v>
      </c>
      <c r="H202" s="711"/>
      <c r="I202" s="727">
        <v>2017559</v>
      </c>
      <c r="J202" s="728">
        <v>1143337</v>
      </c>
      <c r="K202" s="728">
        <v>1422941</v>
      </c>
      <c r="L202" s="728">
        <v>1379442</v>
      </c>
      <c r="M202" s="729">
        <v>996099</v>
      </c>
    </row>
    <row r="203" spans="1:13" s="9" customFormat="1" ht="12.75" x14ac:dyDescent="0.2">
      <c r="A203" s="711"/>
      <c r="B203" s="737"/>
      <c r="C203" s="863" t="s">
        <v>188</v>
      </c>
      <c r="D203" s="864"/>
      <c r="E203" s="865"/>
      <c r="F203" s="711"/>
      <c r="G203" s="681">
        <f>SUM(I203:M203)</f>
        <v>11598965</v>
      </c>
      <c r="H203" s="711"/>
      <c r="I203" s="727">
        <v>3362599</v>
      </c>
      <c r="J203" s="728">
        <v>1905562</v>
      </c>
      <c r="K203" s="728">
        <v>2371569</v>
      </c>
      <c r="L203" s="728">
        <v>2299070</v>
      </c>
      <c r="M203" s="729">
        <v>1660165</v>
      </c>
    </row>
    <row r="204" spans="1:13" s="9" customFormat="1" ht="12.75" x14ac:dyDescent="0.2">
      <c r="A204" s="711"/>
      <c r="B204" s="737"/>
      <c r="C204" s="863" t="s">
        <v>271</v>
      </c>
      <c r="D204" s="864"/>
      <c r="E204" s="865"/>
      <c r="F204" s="711"/>
      <c r="G204" s="681"/>
      <c r="H204" s="711"/>
      <c r="I204" s="727"/>
      <c r="J204" s="728"/>
      <c r="K204" s="728"/>
      <c r="L204" s="728"/>
      <c r="M204" s="729"/>
    </row>
    <row r="205" spans="1:13" s="9" customFormat="1" ht="12.75" x14ac:dyDescent="0.2">
      <c r="A205" s="711"/>
      <c r="B205" s="737"/>
      <c r="C205" s="863" t="s">
        <v>189</v>
      </c>
      <c r="D205" s="864"/>
      <c r="E205" s="865"/>
      <c r="F205" s="711"/>
      <c r="G205" s="681"/>
      <c r="H205" s="711"/>
      <c r="I205" s="727"/>
      <c r="J205" s="728"/>
      <c r="K205" s="728"/>
      <c r="L205" s="728"/>
      <c r="M205" s="729"/>
    </row>
    <row r="206" spans="1:13" s="9" customFormat="1" ht="12.75" x14ac:dyDescent="0.2">
      <c r="A206" s="711"/>
      <c r="B206" s="737"/>
      <c r="C206" s="863" t="s">
        <v>304</v>
      </c>
      <c r="D206" s="864"/>
      <c r="E206" s="865"/>
      <c r="F206" s="711"/>
      <c r="G206" s="681"/>
      <c r="H206" s="711"/>
      <c r="I206" s="727"/>
      <c r="J206" s="728"/>
      <c r="K206" s="728"/>
      <c r="L206" s="728"/>
      <c r="M206" s="729"/>
    </row>
    <row r="207" spans="1:13" s="9" customFormat="1" ht="12.75" x14ac:dyDescent="0.2">
      <c r="A207" s="711"/>
      <c r="B207" s="737"/>
      <c r="C207" s="866" t="s">
        <v>190</v>
      </c>
      <c r="D207" s="867"/>
      <c r="E207" s="868"/>
      <c r="F207" s="711"/>
      <c r="G207" s="733"/>
      <c r="H207" s="711"/>
      <c r="I207" s="734"/>
      <c r="J207" s="735"/>
      <c r="K207" s="735"/>
      <c r="L207" s="735"/>
      <c r="M207" s="736"/>
    </row>
    <row r="208" spans="1:13" s="9" customFormat="1" ht="27.6" customHeight="1" x14ac:dyDescent="0.2">
      <c r="A208" s="711"/>
      <c r="B208" s="737"/>
      <c r="C208" s="782"/>
      <c r="D208" s="711"/>
      <c r="E208" s="737"/>
      <c r="F208" s="711"/>
      <c r="G208" s="782"/>
      <c r="H208" s="711"/>
      <c r="I208" s="711"/>
      <c r="J208" s="711"/>
      <c r="K208" s="711"/>
      <c r="L208" s="711"/>
      <c r="M208" s="711"/>
    </row>
    <row r="209" spans="1:13" s="2" customFormat="1" ht="14.25" x14ac:dyDescent="0.2">
      <c r="A209" s="642"/>
      <c r="B209" s="854" t="s">
        <v>391</v>
      </c>
      <c r="C209" s="855"/>
      <c r="D209" s="855"/>
      <c r="E209" s="855"/>
      <c r="F209" s="856"/>
      <c r="G209" s="810"/>
      <c r="H209" s="811"/>
      <c r="I209" s="649" t="str">
        <f>+I199</f>
        <v>IIFS1</v>
      </c>
      <c r="J209" s="649" t="str">
        <f t="shared" ref="J209:M209" si="34">+J199</f>
        <v>IIFS2</v>
      </c>
      <c r="K209" s="649" t="str">
        <f t="shared" si="34"/>
        <v>IIFS3</v>
      </c>
      <c r="L209" s="649" t="str">
        <f t="shared" si="34"/>
        <v>IIFS4</v>
      </c>
      <c r="M209" s="649" t="str">
        <f t="shared" si="34"/>
        <v>IIFS5</v>
      </c>
    </row>
    <row r="210" spans="1:13" ht="12" customHeight="1" x14ac:dyDescent="0.2">
      <c r="A210" s="812"/>
      <c r="B210" s="813"/>
      <c r="C210" s="814"/>
      <c r="D210" s="814"/>
      <c r="E210" s="814"/>
      <c r="F210" s="814"/>
      <c r="G210" s="810"/>
      <c r="H210" s="670"/>
      <c r="I210" s="815"/>
      <c r="J210" s="815"/>
      <c r="K210" s="815"/>
      <c r="L210" s="815"/>
      <c r="M210" s="815"/>
    </row>
    <row r="211" spans="1:13" ht="12" customHeight="1" x14ac:dyDescent="0.2">
      <c r="A211" s="812"/>
      <c r="B211" s="816" t="s">
        <v>373</v>
      </c>
      <c r="C211" s="817"/>
      <c r="D211" s="817"/>
      <c r="E211" s="817"/>
      <c r="F211" s="818"/>
      <c r="G211" s="810"/>
      <c r="H211" s="670"/>
      <c r="I211" s="815"/>
      <c r="J211" s="815"/>
      <c r="K211" s="815"/>
      <c r="L211" s="815"/>
      <c r="M211" s="815"/>
    </row>
    <row r="212" spans="1:13" ht="12" customHeight="1" x14ac:dyDescent="0.2">
      <c r="A212" s="812"/>
      <c r="B212" s="819"/>
      <c r="C212" s="820" t="s">
        <v>379</v>
      </c>
      <c r="D212" s="821"/>
      <c r="E212" s="822"/>
      <c r="F212" s="823"/>
      <c r="G212" s="824">
        <f t="shared" ref="G212:G222" si="35">SUM(I212:BG212)</f>
        <v>47619879</v>
      </c>
      <c r="H212" s="10"/>
      <c r="I212" s="606">
        <f>SUM(I213:I216)</f>
        <v>8288248</v>
      </c>
      <c r="J212" s="606">
        <f t="shared" ref="J212:M212" si="36">SUM(J213:J216)</f>
        <v>11321308</v>
      </c>
      <c r="K212" s="606">
        <f t="shared" si="36"/>
        <v>7475925</v>
      </c>
      <c r="L212" s="606">
        <f t="shared" si="36"/>
        <v>12165526</v>
      </c>
      <c r="M212" s="606">
        <f t="shared" si="36"/>
        <v>8368872</v>
      </c>
    </row>
    <row r="213" spans="1:13" ht="12" customHeight="1" x14ac:dyDescent="0.2">
      <c r="A213" s="812"/>
      <c r="B213" s="819"/>
      <c r="C213" s="823"/>
      <c r="D213" s="825" t="s">
        <v>380</v>
      </c>
      <c r="E213" s="826"/>
      <c r="F213" s="823"/>
      <c r="G213" s="827">
        <f t="shared" si="35"/>
        <v>33367684</v>
      </c>
      <c r="H213" s="10"/>
      <c r="I213" s="844">
        <v>5042648</v>
      </c>
      <c r="J213" s="844">
        <v>8035467</v>
      </c>
      <c r="K213" s="844">
        <v>5483331</v>
      </c>
      <c r="L213" s="844">
        <v>8667961</v>
      </c>
      <c r="M213" s="844">
        <v>6138277</v>
      </c>
    </row>
    <row r="214" spans="1:13" ht="12" customHeight="1" x14ac:dyDescent="0.2">
      <c r="A214" s="812"/>
      <c r="B214" s="819"/>
      <c r="C214" s="823"/>
      <c r="D214" s="829" t="s">
        <v>381</v>
      </c>
      <c r="E214" s="830"/>
      <c r="F214" s="823"/>
      <c r="G214" s="827">
        <f t="shared" si="35"/>
        <v>8016949</v>
      </c>
      <c r="H214" s="10"/>
      <c r="I214" s="844">
        <v>2799588</v>
      </c>
      <c r="J214" s="844">
        <v>1712573</v>
      </c>
      <c r="K214" s="844">
        <v>1204858</v>
      </c>
      <c r="L214" s="844">
        <v>951160</v>
      </c>
      <c r="M214" s="844">
        <v>1348770</v>
      </c>
    </row>
    <row r="215" spans="1:13" ht="12" customHeight="1" x14ac:dyDescent="0.2">
      <c r="A215" s="812"/>
      <c r="B215" s="819"/>
      <c r="C215" s="823"/>
      <c r="D215" s="829" t="s">
        <v>382</v>
      </c>
      <c r="E215" s="830"/>
      <c r="F215" s="823"/>
      <c r="G215" s="827">
        <f t="shared" si="35"/>
        <v>6128647</v>
      </c>
      <c r="H215" s="10"/>
      <c r="I215" s="606">
        <v>445978</v>
      </c>
      <c r="J215" s="606">
        <v>1534228</v>
      </c>
      <c r="K215" s="606">
        <v>777972</v>
      </c>
      <c r="L215" s="606">
        <v>2499574</v>
      </c>
      <c r="M215" s="606">
        <v>870895</v>
      </c>
    </row>
    <row r="216" spans="1:13" ht="12" customHeight="1" x14ac:dyDescent="0.2">
      <c r="A216" s="812"/>
      <c r="B216" s="819"/>
      <c r="C216" s="823"/>
      <c r="D216" s="829" t="s">
        <v>383</v>
      </c>
      <c r="E216" s="830"/>
      <c r="F216" s="823"/>
      <c r="G216" s="827">
        <f t="shared" si="35"/>
        <v>106599</v>
      </c>
      <c r="H216" s="10"/>
      <c r="I216" s="606">
        <v>34</v>
      </c>
      <c r="J216" s="606">
        <v>39040</v>
      </c>
      <c r="K216" s="606">
        <v>9764</v>
      </c>
      <c r="L216" s="606">
        <v>46831</v>
      </c>
      <c r="M216" s="606">
        <v>10930</v>
      </c>
    </row>
    <row r="217" spans="1:13" ht="12" customHeight="1" x14ac:dyDescent="0.2">
      <c r="A217" s="812"/>
      <c r="B217" s="819"/>
      <c r="C217" s="823"/>
      <c r="D217" s="829"/>
      <c r="E217" s="830"/>
      <c r="F217" s="823"/>
      <c r="G217" s="827">
        <f t="shared" si="35"/>
        <v>0</v>
      </c>
      <c r="H217" s="10"/>
      <c r="I217" s="606"/>
      <c r="J217" s="606"/>
      <c r="K217" s="606"/>
      <c r="L217" s="606"/>
      <c r="M217" s="606"/>
    </row>
    <row r="218" spans="1:13" ht="12" customHeight="1" x14ac:dyDescent="0.2">
      <c r="A218" s="812"/>
      <c r="B218" s="819"/>
      <c r="C218" s="823"/>
      <c r="D218" s="829"/>
      <c r="E218" s="830"/>
      <c r="F218" s="823"/>
      <c r="G218" s="827">
        <f t="shared" si="35"/>
        <v>0</v>
      </c>
      <c r="H218" s="10"/>
      <c r="I218" s="606"/>
      <c r="J218" s="606"/>
      <c r="K218" s="606"/>
      <c r="L218" s="606"/>
      <c r="M218" s="606"/>
    </row>
    <row r="219" spans="1:13" ht="12" customHeight="1" x14ac:dyDescent="0.2">
      <c r="A219" s="812"/>
      <c r="B219" s="819"/>
      <c r="C219" s="823"/>
      <c r="D219" s="829"/>
      <c r="E219" s="830"/>
      <c r="F219" s="823"/>
      <c r="G219" s="827">
        <f t="shared" si="35"/>
        <v>0</v>
      </c>
      <c r="H219" s="10"/>
      <c r="I219" s="606"/>
      <c r="J219" s="606"/>
      <c r="K219" s="606"/>
      <c r="L219" s="606"/>
      <c r="M219" s="606"/>
    </row>
    <row r="220" spans="1:13" ht="12" customHeight="1" x14ac:dyDescent="0.2">
      <c r="A220" s="812"/>
      <c r="B220" s="819"/>
      <c r="C220" s="823"/>
      <c r="D220" s="829"/>
      <c r="E220" s="830"/>
      <c r="F220" s="823"/>
      <c r="G220" s="827">
        <f t="shared" si="35"/>
        <v>0</v>
      </c>
      <c r="H220" s="10"/>
      <c r="I220" s="606"/>
      <c r="J220" s="606"/>
      <c r="K220" s="606"/>
      <c r="L220" s="606"/>
      <c r="M220" s="606"/>
    </row>
    <row r="221" spans="1:13" ht="12" customHeight="1" x14ac:dyDescent="0.2">
      <c r="A221" s="812"/>
      <c r="B221" s="819"/>
      <c r="C221" s="823"/>
      <c r="D221" s="829"/>
      <c r="E221" s="830"/>
      <c r="F221" s="823"/>
      <c r="G221" s="827">
        <f t="shared" si="35"/>
        <v>0</v>
      </c>
      <c r="H221" s="10"/>
      <c r="I221" s="606"/>
      <c r="J221" s="606"/>
      <c r="K221" s="606"/>
      <c r="L221" s="606"/>
      <c r="M221" s="606"/>
    </row>
    <row r="222" spans="1:13" ht="12" customHeight="1" x14ac:dyDescent="0.2">
      <c r="A222" s="812"/>
      <c r="B222" s="819"/>
      <c r="C222" s="823"/>
      <c r="D222" s="831"/>
      <c r="E222" s="832"/>
      <c r="F222" s="823"/>
      <c r="G222" s="833">
        <f t="shared" si="35"/>
        <v>0</v>
      </c>
      <c r="H222" s="10"/>
      <c r="I222" s="606"/>
      <c r="J222" s="606"/>
      <c r="K222" s="606"/>
      <c r="L222" s="606"/>
      <c r="M222" s="606"/>
    </row>
    <row r="223" spans="1:13" ht="12" customHeight="1" x14ac:dyDescent="0.2">
      <c r="A223" s="812"/>
      <c r="B223" s="834"/>
      <c r="C223" s="834"/>
      <c r="D223" s="834"/>
      <c r="E223" s="834"/>
      <c r="F223" s="835"/>
      <c r="G223" s="835"/>
      <c r="H223" s="10"/>
      <c r="I223" s="836"/>
      <c r="J223" s="836"/>
      <c r="K223" s="836"/>
      <c r="L223" s="836"/>
      <c r="M223" s="836"/>
    </row>
    <row r="224" spans="1:13" ht="12" customHeight="1" x14ac:dyDescent="0.2">
      <c r="A224" s="812"/>
      <c r="B224" s="819"/>
      <c r="C224" s="820" t="s">
        <v>374</v>
      </c>
      <c r="D224" s="821"/>
      <c r="E224" s="822"/>
      <c r="F224" s="823"/>
      <c r="G224" s="824">
        <f t="shared" ref="G224:G234" si="37">SUM(I224:BG224)</f>
        <v>21846284</v>
      </c>
      <c r="H224" s="10"/>
      <c r="I224" s="606">
        <f>SUM(I225:I228)</f>
        <v>4946018</v>
      </c>
      <c r="J224" s="606">
        <f t="shared" ref="J224:M224" si="38">SUM(J225:J228)</f>
        <v>3015155</v>
      </c>
      <c r="K224" s="606">
        <f t="shared" si="38"/>
        <v>6184798</v>
      </c>
      <c r="L224" s="606">
        <f t="shared" si="38"/>
        <v>2556521</v>
      </c>
      <c r="M224" s="606">
        <f t="shared" si="38"/>
        <v>5143792</v>
      </c>
    </row>
    <row r="225" spans="1:13" ht="12" customHeight="1" x14ac:dyDescent="0.2">
      <c r="A225" s="812"/>
      <c r="B225" s="819"/>
      <c r="C225" s="823"/>
      <c r="D225" s="837" t="str">
        <f>+D213</f>
        <v>Less than 3 months</v>
      </c>
      <c r="E225" s="838"/>
      <c r="F225" s="823"/>
      <c r="G225" s="827">
        <f t="shared" si="37"/>
        <v>8144269</v>
      </c>
      <c r="H225" s="10"/>
      <c r="I225" s="844">
        <v>1739799</v>
      </c>
      <c r="J225" s="844">
        <v>1097730</v>
      </c>
      <c r="K225" s="844">
        <v>2363763</v>
      </c>
      <c r="L225" s="844">
        <v>977075</v>
      </c>
      <c r="M225" s="844">
        <v>1965902</v>
      </c>
    </row>
    <row r="226" spans="1:13" ht="12" customHeight="1" x14ac:dyDescent="0.2">
      <c r="A226" s="812"/>
      <c r="B226" s="819"/>
      <c r="C226" s="823"/>
      <c r="D226" s="839" t="str">
        <f t="shared" ref="D226:D228" si="39">+D214</f>
        <v>3 to 12 months</v>
      </c>
      <c r="E226" s="840"/>
      <c r="F226" s="823"/>
      <c r="G226" s="827">
        <f t="shared" si="37"/>
        <v>9890727</v>
      </c>
      <c r="H226" s="10"/>
      <c r="I226" s="844">
        <v>2407523</v>
      </c>
      <c r="J226" s="844">
        <v>1809525</v>
      </c>
      <c r="K226" s="844">
        <v>2527208</v>
      </c>
      <c r="L226" s="844">
        <v>1044635</v>
      </c>
      <c r="M226" s="844">
        <v>2101836</v>
      </c>
    </row>
    <row r="227" spans="1:13" ht="12" customHeight="1" x14ac:dyDescent="0.2">
      <c r="A227" s="812"/>
      <c r="B227" s="819"/>
      <c r="C227" s="823"/>
      <c r="D227" s="839" t="str">
        <f t="shared" si="39"/>
        <v>1 to 5 years</v>
      </c>
      <c r="E227" s="840"/>
      <c r="F227" s="823"/>
      <c r="G227" s="827">
        <f t="shared" si="37"/>
        <v>2894820</v>
      </c>
      <c r="H227" s="10"/>
      <c r="I227" s="606">
        <v>419770</v>
      </c>
      <c r="J227" s="606">
        <v>95511</v>
      </c>
      <c r="K227" s="606">
        <v>1059910</v>
      </c>
      <c r="L227" s="606">
        <v>438120</v>
      </c>
      <c r="M227" s="606">
        <v>881509</v>
      </c>
    </row>
    <row r="228" spans="1:13" ht="12" customHeight="1" x14ac:dyDescent="0.2">
      <c r="A228" s="812"/>
      <c r="B228" s="819"/>
      <c r="C228" s="823"/>
      <c r="D228" s="839" t="str">
        <f t="shared" si="39"/>
        <v>More than 5 years</v>
      </c>
      <c r="E228" s="840"/>
      <c r="F228" s="823"/>
      <c r="G228" s="827">
        <f t="shared" si="37"/>
        <v>916468</v>
      </c>
      <c r="H228" s="10"/>
      <c r="I228" s="606">
        <v>378926</v>
      </c>
      <c r="J228" s="606">
        <v>12389</v>
      </c>
      <c r="K228" s="606">
        <v>233917</v>
      </c>
      <c r="L228" s="606">
        <v>96691</v>
      </c>
      <c r="M228" s="606">
        <v>194545</v>
      </c>
    </row>
    <row r="229" spans="1:13" ht="12" customHeight="1" x14ac:dyDescent="0.2">
      <c r="A229" s="812"/>
      <c r="B229" s="819"/>
      <c r="C229" s="823"/>
      <c r="D229" s="839"/>
      <c r="E229" s="840"/>
      <c r="F229" s="823"/>
      <c r="G229" s="827">
        <f t="shared" si="37"/>
        <v>0</v>
      </c>
      <c r="H229" s="10"/>
      <c r="I229" s="606"/>
      <c r="J229" s="606"/>
      <c r="K229" s="606"/>
      <c r="L229" s="606"/>
      <c r="M229" s="606"/>
    </row>
    <row r="230" spans="1:13" ht="12" customHeight="1" x14ac:dyDescent="0.2">
      <c r="A230" s="812"/>
      <c r="B230" s="819"/>
      <c r="C230" s="823"/>
      <c r="D230" s="839"/>
      <c r="E230" s="840"/>
      <c r="F230" s="823"/>
      <c r="G230" s="827">
        <f t="shared" si="37"/>
        <v>0</v>
      </c>
      <c r="H230" s="10"/>
      <c r="I230" s="606"/>
      <c r="J230" s="606"/>
      <c r="K230" s="606"/>
      <c r="L230" s="606"/>
      <c r="M230" s="606"/>
    </row>
    <row r="231" spans="1:13" ht="12" customHeight="1" x14ac:dyDescent="0.2">
      <c r="A231" s="812"/>
      <c r="B231" s="819"/>
      <c r="C231" s="823"/>
      <c r="D231" s="839"/>
      <c r="E231" s="840"/>
      <c r="F231" s="823"/>
      <c r="G231" s="827">
        <f t="shared" si="37"/>
        <v>0</v>
      </c>
      <c r="H231" s="10"/>
      <c r="I231" s="606"/>
      <c r="J231" s="606"/>
      <c r="K231" s="606"/>
      <c r="L231" s="606"/>
      <c r="M231" s="606"/>
    </row>
    <row r="232" spans="1:13" ht="12" customHeight="1" x14ac:dyDescent="0.2">
      <c r="A232" s="812"/>
      <c r="B232" s="819"/>
      <c r="C232" s="823"/>
      <c r="D232" s="839"/>
      <c r="E232" s="840"/>
      <c r="F232" s="823"/>
      <c r="G232" s="827">
        <f t="shared" si="37"/>
        <v>0</v>
      </c>
      <c r="H232" s="10"/>
      <c r="I232" s="606"/>
      <c r="J232" s="606"/>
      <c r="K232" s="606"/>
      <c r="L232" s="606"/>
      <c r="M232" s="606"/>
    </row>
    <row r="233" spans="1:13" ht="12" customHeight="1" x14ac:dyDescent="0.2">
      <c r="A233" s="812"/>
      <c r="B233" s="819"/>
      <c r="C233" s="823"/>
      <c r="D233" s="839"/>
      <c r="E233" s="840"/>
      <c r="F233" s="823"/>
      <c r="G233" s="827">
        <f t="shared" si="37"/>
        <v>0</v>
      </c>
      <c r="H233" s="10"/>
      <c r="I233" s="606"/>
      <c r="J233" s="606"/>
      <c r="K233" s="606"/>
      <c r="L233" s="606"/>
      <c r="M233" s="606"/>
    </row>
    <row r="234" spans="1:13" ht="12" customHeight="1" x14ac:dyDescent="0.2">
      <c r="A234" s="812"/>
      <c r="B234" s="819"/>
      <c r="C234" s="823"/>
      <c r="D234" s="841"/>
      <c r="E234" s="842"/>
      <c r="F234" s="823"/>
      <c r="G234" s="833">
        <f t="shared" si="37"/>
        <v>0</v>
      </c>
      <c r="H234" s="10"/>
      <c r="I234" s="606"/>
      <c r="J234" s="606"/>
      <c r="K234" s="606"/>
      <c r="L234" s="606"/>
      <c r="M234" s="606"/>
    </row>
    <row r="235" spans="1:13" ht="12" customHeight="1" x14ac:dyDescent="0.2">
      <c r="A235" s="812"/>
      <c r="B235" s="813"/>
      <c r="C235" s="814"/>
      <c r="D235" s="814"/>
      <c r="E235" s="814"/>
      <c r="F235" s="823"/>
      <c r="G235" s="670"/>
      <c r="H235" s="10"/>
      <c r="I235" s="815"/>
      <c r="J235" s="815"/>
      <c r="K235" s="815"/>
      <c r="L235" s="815"/>
      <c r="M235" s="815"/>
    </row>
    <row r="236" spans="1:13" ht="12" customHeight="1" x14ac:dyDescent="0.2">
      <c r="A236" s="812"/>
      <c r="B236" s="819"/>
      <c r="C236" s="820" t="s">
        <v>375</v>
      </c>
      <c r="D236" s="821"/>
      <c r="E236" s="822"/>
      <c r="F236" s="823"/>
      <c r="G236" s="824">
        <f t="shared" ref="G236:G246" si="40">SUM(I236:BG236)</f>
        <v>5222596</v>
      </c>
      <c r="H236" s="10"/>
      <c r="I236" s="606">
        <f>SUM(I237:I240)</f>
        <v>619801</v>
      </c>
      <c r="J236" s="606">
        <f t="shared" ref="J236:M236" si="41">SUM(J237:J240)</f>
        <v>745938</v>
      </c>
      <c r="K236" s="606">
        <f t="shared" si="41"/>
        <v>1298261</v>
      </c>
      <c r="L236" s="606">
        <f t="shared" si="41"/>
        <v>2433228</v>
      </c>
      <c r="M236" s="606">
        <f t="shared" si="41"/>
        <v>125368</v>
      </c>
    </row>
    <row r="237" spans="1:13" ht="12" customHeight="1" x14ac:dyDescent="0.2">
      <c r="A237" s="812"/>
      <c r="B237" s="819"/>
      <c r="C237" s="823"/>
      <c r="D237" s="837" t="str">
        <f>D225</f>
        <v>Less than 3 months</v>
      </c>
      <c r="E237" s="838"/>
      <c r="F237" s="823"/>
      <c r="G237" s="827">
        <f t="shared" si="40"/>
        <v>0</v>
      </c>
      <c r="H237" s="10"/>
      <c r="I237" s="844">
        <v>0</v>
      </c>
      <c r="J237" s="844">
        <v>0</v>
      </c>
      <c r="K237" s="844">
        <v>0</v>
      </c>
      <c r="L237" s="844">
        <v>0</v>
      </c>
      <c r="M237" s="844">
        <v>0</v>
      </c>
    </row>
    <row r="238" spans="1:13" ht="12" customHeight="1" x14ac:dyDescent="0.2">
      <c r="A238" s="812"/>
      <c r="B238" s="819"/>
      <c r="C238" s="823"/>
      <c r="D238" s="839" t="str">
        <f t="shared" ref="D238:D240" si="42">D226</f>
        <v>3 to 12 months</v>
      </c>
      <c r="E238" s="840"/>
      <c r="F238" s="823"/>
      <c r="G238" s="827">
        <f t="shared" si="40"/>
        <v>1207497</v>
      </c>
      <c r="H238" s="10"/>
      <c r="I238" s="844">
        <v>137555</v>
      </c>
      <c r="J238" s="844">
        <v>316642</v>
      </c>
      <c r="K238" s="844">
        <v>288128</v>
      </c>
      <c r="L238" s="844">
        <v>437349</v>
      </c>
      <c r="M238" s="844">
        <v>27823</v>
      </c>
    </row>
    <row r="239" spans="1:13" ht="12" customHeight="1" x14ac:dyDescent="0.2">
      <c r="A239" s="812"/>
      <c r="B239" s="819"/>
      <c r="C239" s="823"/>
      <c r="D239" s="839" t="str">
        <f t="shared" si="42"/>
        <v>1 to 5 years</v>
      </c>
      <c r="E239" s="840"/>
      <c r="F239" s="823"/>
      <c r="G239" s="827">
        <f t="shared" si="40"/>
        <v>4015099</v>
      </c>
      <c r="H239" s="10"/>
      <c r="I239" s="606">
        <v>482246</v>
      </c>
      <c r="J239" s="606">
        <v>429296</v>
      </c>
      <c r="K239" s="606">
        <v>1010133</v>
      </c>
      <c r="L239" s="606">
        <v>1995879</v>
      </c>
      <c r="M239" s="606">
        <v>97545</v>
      </c>
    </row>
    <row r="240" spans="1:13" ht="12" customHeight="1" x14ac:dyDescent="0.2">
      <c r="A240" s="812"/>
      <c r="B240" s="819"/>
      <c r="C240" s="823"/>
      <c r="D240" s="839" t="str">
        <f t="shared" si="42"/>
        <v>More than 5 years</v>
      </c>
      <c r="E240" s="840"/>
      <c r="F240" s="823"/>
      <c r="G240" s="827">
        <f t="shared" si="40"/>
        <v>0</v>
      </c>
      <c r="H240" s="10"/>
      <c r="I240" s="606">
        <v>0</v>
      </c>
      <c r="J240" s="606">
        <v>0</v>
      </c>
      <c r="K240" s="606">
        <v>0</v>
      </c>
      <c r="L240" s="606">
        <v>0</v>
      </c>
      <c r="M240" s="606">
        <v>0</v>
      </c>
    </row>
    <row r="241" spans="1:13" ht="12" customHeight="1" x14ac:dyDescent="0.2">
      <c r="A241" s="812"/>
      <c r="B241" s="819"/>
      <c r="C241" s="823"/>
      <c r="D241" s="839"/>
      <c r="E241" s="840"/>
      <c r="F241" s="823"/>
      <c r="G241" s="827">
        <f t="shared" si="40"/>
        <v>0</v>
      </c>
      <c r="H241" s="10"/>
      <c r="I241" s="606"/>
      <c r="J241" s="606"/>
      <c r="K241" s="606"/>
      <c r="L241" s="606"/>
      <c r="M241" s="606"/>
    </row>
    <row r="242" spans="1:13" ht="12" customHeight="1" x14ac:dyDescent="0.2">
      <c r="A242" s="812"/>
      <c r="B242" s="819"/>
      <c r="C242" s="823"/>
      <c r="D242" s="839"/>
      <c r="E242" s="840"/>
      <c r="F242" s="823"/>
      <c r="G242" s="827">
        <f t="shared" si="40"/>
        <v>0</v>
      </c>
      <c r="H242" s="10"/>
      <c r="I242" s="843"/>
      <c r="J242" s="843"/>
      <c r="K242" s="843"/>
      <c r="L242" s="843"/>
      <c r="M242" s="843"/>
    </row>
    <row r="243" spans="1:13" ht="12" customHeight="1" x14ac:dyDescent="0.2">
      <c r="A243" s="812"/>
      <c r="B243" s="819"/>
      <c r="C243" s="823"/>
      <c r="D243" s="839"/>
      <c r="E243" s="840"/>
      <c r="F243" s="823"/>
      <c r="G243" s="827">
        <f t="shared" si="40"/>
        <v>0</v>
      </c>
      <c r="H243" s="10"/>
      <c r="I243" s="843"/>
      <c r="J243" s="843"/>
      <c r="K243" s="843"/>
      <c r="L243" s="843"/>
      <c r="M243" s="843"/>
    </row>
    <row r="244" spans="1:13" ht="12" customHeight="1" x14ac:dyDescent="0.2">
      <c r="A244" s="812"/>
      <c r="B244" s="819"/>
      <c r="C244" s="823"/>
      <c r="D244" s="839"/>
      <c r="E244" s="840"/>
      <c r="F244" s="823"/>
      <c r="G244" s="827">
        <f t="shared" si="40"/>
        <v>0</v>
      </c>
      <c r="H244" s="10"/>
      <c r="I244" s="843"/>
      <c r="J244" s="843"/>
      <c r="K244" s="843"/>
      <c r="L244" s="843"/>
      <c r="M244" s="843"/>
    </row>
    <row r="245" spans="1:13" ht="12" customHeight="1" x14ac:dyDescent="0.2">
      <c r="A245" s="812"/>
      <c r="B245" s="819"/>
      <c r="C245" s="823"/>
      <c r="D245" s="839"/>
      <c r="E245" s="840"/>
      <c r="F245" s="823"/>
      <c r="G245" s="827">
        <f t="shared" si="40"/>
        <v>0</v>
      </c>
      <c r="H245" s="10"/>
      <c r="I245" s="843"/>
      <c r="J245" s="843"/>
      <c r="K245" s="843"/>
      <c r="L245" s="843"/>
      <c r="M245" s="843"/>
    </row>
    <row r="246" spans="1:13" ht="12" customHeight="1" x14ac:dyDescent="0.2">
      <c r="A246" s="812"/>
      <c r="B246" s="819"/>
      <c r="C246" s="823"/>
      <c r="D246" s="841"/>
      <c r="E246" s="842"/>
      <c r="F246" s="823"/>
      <c r="G246" s="833">
        <f t="shared" si="40"/>
        <v>0</v>
      </c>
      <c r="H246" s="10"/>
      <c r="I246" s="843"/>
      <c r="J246" s="843"/>
      <c r="K246" s="843"/>
      <c r="L246" s="843"/>
      <c r="M246" s="843"/>
    </row>
    <row r="247" spans="1:13" ht="12" customHeight="1" x14ac:dyDescent="0.2">
      <c r="A247" s="812"/>
      <c r="B247" s="813"/>
      <c r="C247" s="814"/>
      <c r="D247" s="814"/>
      <c r="E247" s="814"/>
      <c r="F247" s="823"/>
      <c r="G247" s="670"/>
      <c r="H247" s="10"/>
      <c r="I247" s="815"/>
      <c r="J247" s="815"/>
      <c r="K247" s="815"/>
      <c r="L247" s="815"/>
      <c r="M247" s="815"/>
    </row>
    <row r="248" spans="1:13" ht="12" customHeight="1" x14ac:dyDescent="0.2">
      <c r="A248" s="812"/>
      <c r="B248" s="819"/>
      <c r="C248" s="820" t="s">
        <v>376</v>
      </c>
      <c r="D248" s="821"/>
      <c r="E248" s="822"/>
      <c r="F248" s="823"/>
      <c r="G248" s="824">
        <f t="shared" ref="G248:G258" si="43">SUM(I248:BG248)</f>
        <v>0</v>
      </c>
      <c r="H248" s="10"/>
      <c r="I248" s="843"/>
      <c r="J248" s="843"/>
      <c r="K248" s="843"/>
      <c r="L248" s="843"/>
      <c r="M248" s="843"/>
    </row>
    <row r="249" spans="1:13" ht="12" customHeight="1" x14ac:dyDescent="0.2">
      <c r="A249" s="812"/>
      <c r="B249" s="819"/>
      <c r="C249" s="823"/>
      <c r="D249" s="837" t="str">
        <f t="shared" ref="D249:D252" si="44">D237</f>
        <v>Less than 3 months</v>
      </c>
      <c r="E249" s="838"/>
      <c r="F249" s="823"/>
      <c r="G249" s="827">
        <f t="shared" si="43"/>
        <v>0</v>
      </c>
      <c r="H249" s="10"/>
      <c r="I249" s="828"/>
      <c r="J249" s="828"/>
      <c r="K249" s="828"/>
      <c r="L249" s="828"/>
      <c r="M249" s="828"/>
    </row>
    <row r="250" spans="1:13" ht="12" customHeight="1" x14ac:dyDescent="0.2">
      <c r="A250" s="812"/>
      <c r="B250" s="819"/>
      <c r="C250" s="823"/>
      <c r="D250" s="839" t="str">
        <f t="shared" si="44"/>
        <v>3 to 12 months</v>
      </c>
      <c r="E250" s="840"/>
      <c r="F250" s="823"/>
      <c r="G250" s="827">
        <f t="shared" si="43"/>
        <v>0</v>
      </c>
      <c r="H250" s="10"/>
      <c r="I250" s="828"/>
      <c r="J250" s="828"/>
      <c r="K250" s="828"/>
      <c r="L250" s="828"/>
      <c r="M250" s="828"/>
    </row>
    <row r="251" spans="1:13" ht="12" customHeight="1" x14ac:dyDescent="0.2">
      <c r="A251" s="812"/>
      <c r="B251" s="819"/>
      <c r="C251" s="823"/>
      <c r="D251" s="839" t="str">
        <f t="shared" si="44"/>
        <v>1 to 5 years</v>
      </c>
      <c r="E251" s="840"/>
      <c r="F251" s="823"/>
      <c r="G251" s="827">
        <f t="shared" si="43"/>
        <v>0</v>
      </c>
      <c r="H251" s="10"/>
      <c r="I251" s="843"/>
      <c r="J251" s="843"/>
      <c r="K251" s="843"/>
      <c r="L251" s="843"/>
      <c r="M251" s="843"/>
    </row>
    <row r="252" spans="1:13" ht="12" customHeight="1" x14ac:dyDescent="0.2">
      <c r="A252" s="812"/>
      <c r="B252" s="819"/>
      <c r="C252" s="823"/>
      <c r="D252" s="839" t="str">
        <f t="shared" si="44"/>
        <v>More than 5 years</v>
      </c>
      <c r="E252" s="840"/>
      <c r="F252" s="823"/>
      <c r="G252" s="827">
        <f t="shared" si="43"/>
        <v>0</v>
      </c>
      <c r="H252" s="10"/>
      <c r="I252" s="843"/>
      <c r="J252" s="843"/>
      <c r="K252" s="843"/>
      <c r="L252" s="843"/>
      <c r="M252" s="843"/>
    </row>
    <row r="253" spans="1:13" ht="12" customHeight="1" x14ac:dyDescent="0.2">
      <c r="A253" s="812"/>
      <c r="B253" s="819"/>
      <c r="C253" s="823"/>
      <c r="D253" s="839"/>
      <c r="E253" s="840"/>
      <c r="F253" s="823"/>
      <c r="G253" s="827">
        <f t="shared" si="43"/>
        <v>0</v>
      </c>
      <c r="H253" s="10"/>
      <c r="I253" s="843"/>
      <c r="J253" s="843"/>
      <c r="K253" s="843"/>
      <c r="L253" s="843"/>
      <c r="M253" s="843"/>
    </row>
    <row r="254" spans="1:13" ht="12" customHeight="1" x14ac:dyDescent="0.2">
      <c r="A254" s="812"/>
      <c r="B254" s="819"/>
      <c r="C254" s="823"/>
      <c r="D254" s="839"/>
      <c r="E254" s="840"/>
      <c r="F254" s="823"/>
      <c r="G254" s="827">
        <f t="shared" si="43"/>
        <v>0</v>
      </c>
      <c r="H254" s="10"/>
      <c r="I254" s="843"/>
      <c r="J254" s="843"/>
      <c r="K254" s="843"/>
      <c r="L254" s="843"/>
      <c r="M254" s="843"/>
    </row>
    <row r="255" spans="1:13" ht="12" customHeight="1" x14ac:dyDescent="0.2">
      <c r="A255" s="812"/>
      <c r="B255" s="819"/>
      <c r="C255" s="823"/>
      <c r="D255" s="839"/>
      <c r="E255" s="840"/>
      <c r="F255" s="823"/>
      <c r="G255" s="827">
        <f t="shared" si="43"/>
        <v>0</v>
      </c>
      <c r="H255" s="10"/>
      <c r="I255" s="843"/>
      <c r="J255" s="843"/>
      <c r="K255" s="843"/>
      <c r="L255" s="843"/>
      <c r="M255" s="843"/>
    </row>
    <row r="256" spans="1:13" ht="12" customHeight="1" x14ac:dyDescent="0.2">
      <c r="A256" s="812"/>
      <c r="B256" s="819"/>
      <c r="C256" s="823"/>
      <c r="D256" s="839"/>
      <c r="E256" s="840"/>
      <c r="F256" s="823"/>
      <c r="G256" s="827">
        <f t="shared" si="43"/>
        <v>0</v>
      </c>
      <c r="H256" s="10"/>
      <c r="I256" s="843"/>
      <c r="J256" s="843"/>
      <c r="K256" s="843"/>
      <c r="L256" s="843"/>
      <c r="M256" s="843"/>
    </row>
    <row r="257" spans="1:13" ht="12" customHeight="1" x14ac:dyDescent="0.2">
      <c r="A257" s="812"/>
      <c r="B257" s="819"/>
      <c r="C257" s="823"/>
      <c r="D257" s="839"/>
      <c r="E257" s="840"/>
      <c r="F257" s="823"/>
      <c r="G257" s="827">
        <f t="shared" si="43"/>
        <v>0</v>
      </c>
      <c r="H257" s="10"/>
      <c r="I257" s="843"/>
      <c r="J257" s="843"/>
      <c r="K257" s="843"/>
      <c r="L257" s="843"/>
      <c r="M257" s="843"/>
    </row>
    <row r="258" spans="1:13" ht="12" customHeight="1" x14ac:dyDescent="0.2">
      <c r="A258" s="812"/>
      <c r="B258" s="819"/>
      <c r="C258" s="823"/>
      <c r="D258" s="841"/>
      <c r="E258" s="842"/>
      <c r="F258" s="823"/>
      <c r="G258" s="833">
        <f t="shared" si="43"/>
        <v>0</v>
      </c>
      <c r="H258" s="10"/>
      <c r="I258" s="843"/>
      <c r="J258" s="843"/>
      <c r="K258" s="843"/>
      <c r="L258" s="843"/>
      <c r="M258" s="843"/>
    </row>
    <row r="259" spans="1:13" ht="12" customHeight="1" x14ac:dyDescent="0.2">
      <c r="A259" s="812"/>
      <c r="B259" s="813"/>
      <c r="C259" s="814"/>
      <c r="D259" s="814"/>
      <c r="E259" s="814"/>
      <c r="F259" s="823"/>
      <c r="G259" s="670"/>
      <c r="H259" s="10"/>
      <c r="I259" s="815"/>
      <c r="J259" s="815"/>
      <c r="K259" s="815"/>
      <c r="L259" s="815"/>
      <c r="M259" s="815"/>
    </row>
    <row r="260" spans="1:13" ht="12" customHeight="1" x14ac:dyDescent="0.2">
      <c r="A260" s="812"/>
      <c r="B260" s="819"/>
      <c r="C260" s="820" t="s">
        <v>377</v>
      </c>
      <c r="D260" s="821"/>
      <c r="E260" s="822"/>
      <c r="F260" s="823"/>
      <c r="G260" s="824">
        <f t="shared" ref="G260:G270" si="45">SUM(I260:BG260)</f>
        <v>0</v>
      </c>
      <c r="H260" s="10"/>
      <c r="I260" s="843"/>
      <c r="J260" s="843"/>
      <c r="K260" s="843"/>
      <c r="L260" s="843"/>
      <c r="M260" s="843"/>
    </row>
    <row r="261" spans="1:13" ht="12" customHeight="1" x14ac:dyDescent="0.2">
      <c r="A261" s="812"/>
      <c r="B261" s="819"/>
      <c r="C261" s="823"/>
      <c r="D261" s="837" t="str">
        <f t="shared" ref="D261:D264" si="46">D249</f>
        <v>Less than 3 months</v>
      </c>
      <c r="E261" s="838"/>
      <c r="F261" s="823"/>
      <c r="G261" s="827">
        <f t="shared" si="45"/>
        <v>0</v>
      </c>
      <c r="H261" s="10"/>
      <c r="I261" s="828"/>
      <c r="J261" s="828"/>
      <c r="K261" s="828"/>
      <c r="L261" s="828"/>
      <c r="M261" s="828"/>
    </row>
    <row r="262" spans="1:13" ht="12" customHeight="1" x14ac:dyDescent="0.2">
      <c r="A262" s="812"/>
      <c r="B262" s="819"/>
      <c r="C262" s="823"/>
      <c r="D262" s="839" t="str">
        <f t="shared" si="46"/>
        <v>3 to 12 months</v>
      </c>
      <c r="E262" s="840"/>
      <c r="F262" s="823"/>
      <c r="G262" s="827">
        <f t="shared" si="45"/>
        <v>0</v>
      </c>
      <c r="H262" s="10"/>
      <c r="I262" s="828"/>
      <c r="J262" s="828"/>
      <c r="K262" s="828"/>
      <c r="L262" s="828"/>
      <c r="M262" s="828"/>
    </row>
    <row r="263" spans="1:13" ht="12" customHeight="1" x14ac:dyDescent="0.2">
      <c r="A263" s="812"/>
      <c r="B263" s="819"/>
      <c r="C263" s="823"/>
      <c r="D263" s="839" t="str">
        <f t="shared" si="46"/>
        <v>1 to 5 years</v>
      </c>
      <c r="E263" s="840"/>
      <c r="F263" s="823"/>
      <c r="G263" s="827">
        <f t="shared" si="45"/>
        <v>0</v>
      </c>
      <c r="H263" s="10"/>
      <c r="I263" s="843"/>
      <c r="J263" s="843"/>
      <c r="K263" s="843"/>
      <c r="L263" s="843"/>
      <c r="M263" s="843"/>
    </row>
    <row r="264" spans="1:13" ht="12" customHeight="1" x14ac:dyDescent="0.2">
      <c r="A264" s="812"/>
      <c r="B264" s="819"/>
      <c r="C264" s="823"/>
      <c r="D264" s="839" t="str">
        <f t="shared" si="46"/>
        <v>More than 5 years</v>
      </c>
      <c r="E264" s="840"/>
      <c r="F264" s="823"/>
      <c r="G264" s="827">
        <f t="shared" si="45"/>
        <v>0</v>
      </c>
      <c r="H264" s="10"/>
      <c r="I264" s="843"/>
      <c r="J264" s="843"/>
      <c r="K264" s="843"/>
      <c r="L264" s="843"/>
      <c r="M264" s="843"/>
    </row>
    <row r="265" spans="1:13" ht="12" customHeight="1" x14ac:dyDescent="0.2">
      <c r="A265" s="812"/>
      <c r="B265" s="819"/>
      <c r="C265" s="823"/>
      <c r="D265" s="839"/>
      <c r="E265" s="840"/>
      <c r="F265" s="823"/>
      <c r="G265" s="827">
        <f t="shared" si="45"/>
        <v>0</v>
      </c>
      <c r="H265" s="10"/>
      <c r="I265" s="843"/>
      <c r="J265" s="843"/>
      <c r="K265" s="843"/>
      <c r="L265" s="843"/>
      <c r="M265" s="843"/>
    </row>
    <row r="266" spans="1:13" ht="12" customHeight="1" x14ac:dyDescent="0.2">
      <c r="A266" s="812"/>
      <c r="B266" s="819"/>
      <c r="C266" s="823"/>
      <c r="D266" s="839"/>
      <c r="E266" s="840"/>
      <c r="F266" s="823"/>
      <c r="G266" s="827">
        <f t="shared" si="45"/>
        <v>0</v>
      </c>
      <c r="H266" s="10"/>
      <c r="I266" s="843"/>
      <c r="J266" s="843"/>
      <c r="K266" s="843"/>
      <c r="L266" s="843"/>
      <c r="M266" s="843"/>
    </row>
    <row r="267" spans="1:13" ht="12" customHeight="1" x14ac:dyDescent="0.2">
      <c r="A267" s="812"/>
      <c r="B267" s="819"/>
      <c r="C267" s="823"/>
      <c r="D267" s="839"/>
      <c r="E267" s="840"/>
      <c r="F267" s="823"/>
      <c r="G267" s="827">
        <f t="shared" si="45"/>
        <v>0</v>
      </c>
      <c r="H267" s="10"/>
      <c r="I267" s="843"/>
      <c r="J267" s="843"/>
      <c r="K267" s="843"/>
      <c r="L267" s="843"/>
      <c r="M267" s="843"/>
    </row>
    <row r="268" spans="1:13" ht="12" customHeight="1" x14ac:dyDescent="0.2">
      <c r="A268" s="812"/>
      <c r="B268" s="819"/>
      <c r="C268" s="823"/>
      <c r="D268" s="839"/>
      <c r="E268" s="840"/>
      <c r="F268" s="823"/>
      <c r="G268" s="827">
        <f t="shared" si="45"/>
        <v>0</v>
      </c>
      <c r="H268" s="10"/>
      <c r="I268" s="843"/>
      <c r="J268" s="843"/>
      <c r="K268" s="843"/>
      <c r="L268" s="843"/>
      <c r="M268" s="843"/>
    </row>
    <row r="269" spans="1:13" ht="12" customHeight="1" x14ac:dyDescent="0.2">
      <c r="A269" s="812"/>
      <c r="B269" s="819"/>
      <c r="C269" s="823"/>
      <c r="D269" s="839"/>
      <c r="E269" s="840"/>
      <c r="F269" s="823"/>
      <c r="G269" s="827">
        <f t="shared" si="45"/>
        <v>0</v>
      </c>
      <c r="H269" s="10"/>
      <c r="I269" s="843"/>
      <c r="J269" s="843"/>
      <c r="K269" s="843"/>
      <c r="L269" s="843"/>
      <c r="M269" s="843"/>
    </row>
    <row r="270" spans="1:13" ht="12" customHeight="1" x14ac:dyDescent="0.2">
      <c r="A270" s="812"/>
      <c r="B270" s="819"/>
      <c r="C270" s="823"/>
      <c r="D270" s="841"/>
      <c r="E270" s="842"/>
      <c r="F270" s="823"/>
      <c r="G270" s="833">
        <f t="shared" si="45"/>
        <v>0</v>
      </c>
      <c r="H270" s="10"/>
      <c r="I270" s="843"/>
      <c r="J270" s="843"/>
      <c r="K270" s="843"/>
      <c r="L270" s="843"/>
      <c r="M270" s="843"/>
    </row>
    <row r="271" spans="1:13" ht="12" customHeight="1" x14ac:dyDescent="0.2">
      <c r="A271" s="812"/>
      <c r="B271" s="813"/>
      <c r="C271" s="814"/>
      <c r="D271" s="814"/>
      <c r="E271" s="814"/>
      <c r="F271" s="823"/>
      <c r="G271" s="670"/>
      <c r="H271" s="10"/>
      <c r="I271" s="815"/>
      <c r="J271" s="815"/>
      <c r="K271" s="815"/>
      <c r="L271" s="815"/>
      <c r="M271" s="815"/>
    </row>
    <row r="272" spans="1:13" ht="12" customHeight="1" x14ac:dyDescent="0.2">
      <c r="A272" s="812"/>
      <c r="B272" s="816" t="s">
        <v>30</v>
      </c>
      <c r="C272" s="817"/>
      <c r="D272" s="817"/>
      <c r="E272" s="817"/>
      <c r="F272" s="823"/>
      <c r="G272" s="670"/>
      <c r="H272" s="10"/>
      <c r="I272" s="815"/>
      <c r="J272" s="815"/>
      <c r="K272" s="815"/>
      <c r="L272" s="815"/>
      <c r="M272" s="815"/>
    </row>
    <row r="273" spans="1:13" ht="12" customHeight="1" x14ac:dyDescent="0.2">
      <c r="A273" s="812"/>
      <c r="B273" s="819"/>
      <c r="C273" s="820" t="s">
        <v>400</v>
      </c>
      <c r="D273" s="821"/>
      <c r="E273" s="822"/>
      <c r="F273" s="823"/>
      <c r="G273" s="824">
        <f>SUM(I273:BG273)</f>
        <v>4458183</v>
      </c>
      <c r="H273" s="10"/>
      <c r="I273" s="606">
        <f>SUM(I274:I277)</f>
        <v>1306177</v>
      </c>
      <c r="J273" s="606">
        <f t="shared" ref="J273:M273" si="47">SUM(J274:J277)</f>
        <v>717990</v>
      </c>
      <c r="K273" s="606">
        <f t="shared" si="47"/>
        <v>323613</v>
      </c>
      <c r="L273" s="606">
        <f t="shared" si="47"/>
        <v>974081</v>
      </c>
      <c r="M273" s="606">
        <f t="shared" si="47"/>
        <v>1136322</v>
      </c>
    </row>
    <row r="274" spans="1:13" ht="12" customHeight="1" x14ac:dyDescent="0.2">
      <c r="A274" s="812"/>
      <c r="B274" s="819"/>
      <c r="C274" s="823"/>
      <c r="D274" s="837" t="str">
        <f>+D213</f>
        <v>Less than 3 months</v>
      </c>
      <c r="E274" s="838"/>
      <c r="F274" s="823"/>
      <c r="G274" s="827">
        <f t="shared" ref="G274:G283" si="48">SUM(I274:BG274)</f>
        <v>1736869</v>
      </c>
      <c r="H274" s="10"/>
      <c r="I274" s="606">
        <v>576297</v>
      </c>
      <c r="J274" s="606">
        <v>316783</v>
      </c>
      <c r="K274" s="606">
        <v>142781</v>
      </c>
      <c r="L274" s="606">
        <v>199653</v>
      </c>
      <c r="M274" s="606">
        <v>501355</v>
      </c>
    </row>
    <row r="275" spans="1:13" ht="12" customHeight="1" x14ac:dyDescent="0.2">
      <c r="A275" s="812"/>
      <c r="B275" s="819"/>
      <c r="C275" s="823"/>
      <c r="D275" s="839" t="str">
        <f t="shared" ref="D275:D277" si="49">+D214</f>
        <v>3 to 12 months</v>
      </c>
      <c r="E275" s="840"/>
      <c r="F275" s="823"/>
      <c r="G275" s="827">
        <f t="shared" si="48"/>
        <v>756041</v>
      </c>
      <c r="H275" s="10"/>
      <c r="I275" s="606">
        <v>108840</v>
      </c>
      <c r="J275" s="606">
        <v>59828</v>
      </c>
      <c r="K275" s="606">
        <v>26966</v>
      </c>
      <c r="L275" s="606">
        <v>465720</v>
      </c>
      <c r="M275" s="606">
        <v>94687</v>
      </c>
    </row>
    <row r="276" spans="1:13" ht="12" customHeight="1" x14ac:dyDescent="0.2">
      <c r="A276" s="812"/>
      <c r="B276" s="819"/>
      <c r="C276" s="823"/>
      <c r="D276" s="839" t="str">
        <f t="shared" si="49"/>
        <v>1 to 5 years</v>
      </c>
      <c r="E276" s="840"/>
      <c r="F276" s="823"/>
      <c r="G276" s="827">
        <f t="shared" si="48"/>
        <v>1197344</v>
      </c>
      <c r="H276" s="10"/>
      <c r="I276" s="606">
        <v>371669</v>
      </c>
      <c r="J276" s="606">
        <v>204302</v>
      </c>
      <c r="K276" s="606">
        <v>92083</v>
      </c>
      <c r="L276" s="606">
        <v>205953</v>
      </c>
      <c r="M276" s="606">
        <v>323337</v>
      </c>
    </row>
    <row r="277" spans="1:13" ht="12" customHeight="1" x14ac:dyDescent="0.2">
      <c r="A277" s="812"/>
      <c r="B277" s="819"/>
      <c r="C277" s="823"/>
      <c r="D277" s="839" t="str">
        <f t="shared" si="49"/>
        <v>More than 5 years</v>
      </c>
      <c r="E277" s="840"/>
      <c r="F277" s="823"/>
      <c r="G277" s="827">
        <f t="shared" si="48"/>
        <v>767929</v>
      </c>
      <c r="H277" s="10"/>
      <c r="I277" s="606">
        <v>249371</v>
      </c>
      <c r="J277" s="606">
        <v>137077</v>
      </c>
      <c r="K277" s="606">
        <v>61783</v>
      </c>
      <c r="L277" s="606">
        <v>102755</v>
      </c>
      <c r="M277" s="606">
        <v>216943</v>
      </c>
    </row>
    <row r="278" spans="1:13" ht="12" customHeight="1" x14ac:dyDescent="0.2">
      <c r="A278" s="812"/>
      <c r="B278" s="819"/>
      <c r="C278" s="823"/>
      <c r="D278" s="839"/>
      <c r="E278" s="840"/>
      <c r="F278" s="823"/>
      <c r="G278" s="827">
        <f t="shared" si="48"/>
        <v>0</v>
      </c>
      <c r="H278" s="10"/>
      <c r="I278" s="606"/>
      <c r="J278" s="606"/>
      <c r="K278" s="606"/>
      <c r="L278" s="606"/>
      <c r="M278" s="606"/>
    </row>
    <row r="279" spans="1:13" ht="12" customHeight="1" x14ac:dyDescent="0.2">
      <c r="A279" s="812"/>
      <c r="B279" s="819"/>
      <c r="C279" s="823"/>
      <c r="D279" s="839"/>
      <c r="E279" s="840"/>
      <c r="F279" s="823"/>
      <c r="G279" s="827">
        <f t="shared" si="48"/>
        <v>0</v>
      </c>
      <c r="H279" s="10"/>
      <c r="I279" s="606"/>
      <c r="J279" s="606"/>
      <c r="K279" s="606"/>
      <c r="L279" s="606"/>
      <c r="M279" s="606"/>
    </row>
    <row r="280" spans="1:13" ht="12" customHeight="1" x14ac:dyDescent="0.2">
      <c r="A280" s="812"/>
      <c r="B280" s="819"/>
      <c r="C280" s="823"/>
      <c r="D280" s="839"/>
      <c r="E280" s="840"/>
      <c r="F280" s="823"/>
      <c r="G280" s="827">
        <f t="shared" si="48"/>
        <v>0</v>
      </c>
      <c r="H280" s="10"/>
      <c r="I280" s="843"/>
      <c r="J280" s="843"/>
      <c r="K280" s="843"/>
      <c r="L280" s="843"/>
      <c r="M280" s="843"/>
    </row>
    <row r="281" spans="1:13" ht="12" customHeight="1" x14ac:dyDescent="0.2">
      <c r="A281" s="812"/>
      <c r="B281" s="819"/>
      <c r="C281" s="823"/>
      <c r="D281" s="839"/>
      <c r="E281" s="840"/>
      <c r="F281" s="823"/>
      <c r="G281" s="827">
        <f t="shared" si="48"/>
        <v>0</v>
      </c>
      <c r="H281" s="10"/>
      <c r="I281" s="843"/>
      <c r="J281" s="843"/>
      <c r="K281" s="843"/>
      <c r="L281" s="843"/>
      <c r="M281" s="843"/>
    </row>
    <row r="282" spans="1:13" ht="12" customHeight="1" x14ac:dyDescent="0.2">
      <c r="A282" s="812"/>
      <c r="B282" s="819"/>
      <c r="C282" s="823"/>
      <c r="D282" s="839"/>
      <c r="E282" s="840"/>
      <c r="F282" s="823"/>
      <c r="G282" s="827">
        <f t="shared" si="48"/>
        <v>0</v>
      </c>
      <c r="H282" s="10"/>
      <c r="I282" s="843"/>
      <c r="J282" s="843"/>
      <c r="K282" s="843"/>
      <c r="L282" s="843"/>
      <c r="M282" s="843"/>
    </row>
    <row r="283" spans="1:13" ht="12" customHeight="1" x14ac:dyDescent="0.2">
      <c r="A283" s="812"/>
      <c r="B283" s="819"/>
      <c r="C283" s="823"/>
      <c r="D283" s="841"/>
      <c r="E283" s="842"/>
      <c r="F283" s="823"/>
      <c r="G283" s="833">
        <f t="shared" si="48"/>
        <v>0</v>
      </c>
      <c r="H283" s="10"/>
      <c r="I283" s="843"/>
      <c r="J283" s="843"/>
      <c r="K283" s="843"/>
      <c r="L283" s="843"/>
      <c r="M283" s="843"/>
    </row>
    <row r="284" spans="1:13" ht="12" customHeight="1" x14ac:dyDescent="0.2">
      <c r="A284" s="812"/>
      <c r="B284" s="823"/>
      <c r="C284" s="823"/>
      <c r="D284" s="823"/>
      <c r="E284" s="823"/>
      <c r="F284" s="823"/>
      <c r="G284" s="819"/>
      <c r="H284" s="10"/>
      <c r="I284" s="822"/>
      <c r="J284" s="822"/>
      <c r="K284" s="822"/>
      <c r="L284" s="822"/>
      <c r="M284" s="822"/>
    </row>
    <row r="285" spans="1:13" ht="12" customHeight="1" x14ac:dyDescent="0.2">
      <c r="A285" s="812"/>
      <c r="B285" s="819"/>
      <c r="C285" s="820" t="s">
        <v>401</v>
      </c>
      <c r="D285" s="821"/>
      <c r="E285" s="822"/>
      <c r="F285" s="823"/>
      <c r="G285" s="824">
        <f t="shared" ref="G285:G295" si="50">SUM(I285:BG285)</f>
        <v>55853645</v>
      </c>
      <c r="H285" s="10"/>
      <c r="I285" s="606">
        <f>SUM(I286:I289)</f>
        <v>11827409</v>
      </c>
      <c r="J285" s="606">
        <f t="shared" ref="J285:M285" si="51">SUM(J286:J289)</f>
        <v>10439524</v>
      </c>
      <c r="K285" s="606">
        <f t="shared" si="51"/>
        <v>12992519</v>
      </c>
      <c r="L285" s="606">
        <f t="shared" si="51"/>
        <v>11499063</v>
      </c>
      <c r="M285" s="606">
        <f t="shared" si="51"/>
        <v>9095130</v>
      </c>
    </row>
    <row r="286" spans="1:13" ht="12" customHeight="1" x14ac:dyDescent="0.2">
      <c r="A286" s="812"/>
      <c r="B286" s="819"/>
      <c r="C286" s="823"/>
      <c r="D286" s="837" t="str">
        <f t="shared" ref="D286:D289" si="52">D225</f>
        <v>Less than 3 months</v>
      </c>
      <c r="E286" s="838"/>
      <c r="F286" s="823"/>
      <c r="G286" s="827">
        <f t="shared" si="50"/>
        <v>9305543</v>
      </c>
      <c r="H286" s="10"/>
      <c r="I286" s="606">
        <v>1732175</v>
      </c>
      <c r="J286" s="606">
        <v>1757268</v>
      </c>
      <c r="K286" s="606">
        <v>2187009</v>
      </c>
      <c r="L286" s="606">
        <v>2098123</v>
      </c>
      <c r="M286" s="606">
        <v>1530968</v>
      </c>
    </row>
    <row r="287" spans="1:13" ht="12" customHeight="1" x14ac:dyDescent="0.2">
      <c r="A287" s="812"/>
      <c r="B287" s="819"/>
      <c r="C287" s="823"/>
      <c r="D287" s="839" t="str">
        <f t="shared" si="52"/>
        <v>3 to 12 months</v>
      </c>
      <c r="E287" s="840"/>
      <c r="F287" s="823"/>
      <c r="G287" s="827">
        <f t="shared" si="50"/>
        <v>13892386</v>
      </c>
      <c r="H287" s="10"/>
      <c r="I287" s="606">
        <v>4993023</v>
      </c>
      <c r="J287" s="606">
        <v>2053856</v>
      </c>
      <c r="K287" s="606">
        <v>2556128</v>
      </c>
      <c r="L287" s="606">
        <v>2500017</v>
      </c>
      <c r="M287" s="606">
        <v>1789362</v>
      </c>
    </row>
    <row r="288" spans="1:13" ht="12" customHeight="1" x14ac:dyDescent="0.2">
      <c r="A288" s="812"/>
      <c r="B288" s="819"/>
      <c r="C288" s="823"/>
      <c r="D288" s="839" t="str">
        <f t="shared" si="52"/>
        <v>1 to 5 years</v>
      </c>
      <c r="E288" s="840"/>
      <c r="F288" s="823"/>
      <c r="G288" s="827">
        <f t="shared" si="50"/>
        <v>15943663</v>
      </c>
      <c r="H288" s="10"/>
      <c r="I288" s="606">
        <v>2941451</v>
      </c>
      <c r="J288" s="606">
        <v>2985685</v>
      </c>
      <c r="K288" s="606">
        <v>3715837</v>
      </c>
      <c r="L288" s="606">
        <v>3699499</v>
      </c>
      <c r="M288" s="606">
        <v>2601191</v>
      </c>
    </row>
    <row r="289" spans="1:13" ht="12" customHeight="1" x14ac:dyDescent="0.2">
      <c r="A289" s="812"/>
      <c r="B289" s="819"/>
      <c r="C289" s="823"/>
      <c r="D289" s="839" t="str">
        <f t="shared" si="52"/>
        <v>More than 5 years</v>
      </c>
      <c r="E289" s="840"/>
      <c r="F289" s="823"/>
      <c r="G289" s="827">
        <f t="shared" si="50"/>
        <v>16712053</v>
      </c>
      <c r="H289" s="10"/>
      <c r="I289" s="606">
        <v>2160760</v>
      </c>
      <c r="J289" s="606">
        <v>3642715</v>
      </c>
      <c r="K289" s="606">
        <v>4533545</v>
      </c>
      <c r="L289" s="606">
        <v>3201424</v>
      </c>
      <c r="M289" s="606">
        <v>3173609</v>
      </c>
    </row>
    <row r="290" spans="1:13" ht="12" customHeight="1" x14ac:dyDescent="0.2">
      <c r="A290" s="812"/>
      <c r="B290" s="819"/>
      <c r="C290" s="823"/>
      <c r="D290" s="839"/>
      <c r="E290" s="840"/>
      <c r="F290" s="823"/>
      <c r="G290" s="827">
        <f t="shared" si="50"/>
        <v>0</v>
      </c>
      <c r="H290" s="10"/>
      <c r="I290" s="606"/>
      <c r="J290" s="606"/>
      <c r="K290" s="606"/>
      <c r="L290" s="606"/>
      <c r="M290" s="606"/>
    </row>
    <row r="291" spans="1:13" ht="12" customHeight="1" x14ac:dyDescent="0.2">
      <c r="A291" s="812"/>
      <c r="B291" s="819"/>
      <c r="C291" s="823"/>
      <c r="D291" s="839"/>
      <c r="E291" s="840"/>
      <c r="F291" s="823"/>
      <c r="G291" s="827">
        <f t="shared" si="50"/>
        <v>0</v>
      </c>
      <c r="H291" s="10"/>
      <c r="I291" s="606"/>
      <c r="J291" s="606"/>
      <c r="K291" s="606"/>
      <c r="L291" s="606"/>
      <c r="M291" s="606"/>
    </row>
    <row r="292" spans="1:13" ht="12" customHeight="1" x14ac:dyDescent="0.2">
      <c r="A292" s="812"/>
      <c r="B292" s="819"/>
      <c r="C292" s="823"/>
      <c r="D292" s="839"/>
      <c r="E292" s="840"/>
      <c r="F292" s="823"/>
      <c r="G292" s="827">
        <f t="shared" si="50"/>
        <v>0</v>
      </c>
      <c r="H292" s="10"/>
      <c r="I292" s="843"/>
      <c r="J292" s="843"/>
      <c r="K292" s="843"/>
      <c r="L292" s="843"/>
      <c r="M292" s="843"/>
    </row>
    <row r="293" spans="1:13" ht="12" customHeight="1" x14ac:dyDescent="0.2">
      <c r="A293" s="812"/>
      <c r="B293" s="819"/>
      <c r="C293" s="823"/>
      <c r="D293" s="839"/>
      <c r="E293" s="840"/>
      <c r="F293" s="823"/>
      <c r="G293" s="827">
        <f t="shared" si="50"/>
        <v>0</v>
      </c>
      <c r="H293" s="10"/>
      <c r="I293" s="843"/>
      <c r="J293" s="843"/>
      <c r="K293" s="843"/>
      <c r="L293" s="843"/>
      <c r="M293" s="843"/>
    </row>
    <row r="294" spans="1:13" ht="12" customHeight="1" x14ac:dyDescent="0.2">
      <c r="A294" s="812"/>
      <c r="B294" s="819"/>
      <c r="C294" s="823"/>
      <c r="D294" s="839"/>
      <c r="E294" s="840"/>
      <c r="F294" s="823"/>
      <c r="G294" s="827">
        <f t="shared" si="50"/>
        <v>0</v>
      </c>
      <c r="H294" s="10"/>
      <c r="I294" s="843"/>
      <c r="J294" s="843"/>
      <c r="K294" s="843"/>
      <c r="L294" s="843"/>
      <c r="M294" s="843"/>
    </row>
    <row r="295" spans="1:13" ht="12" customHeight="1" x14ac:dyDescent="0.2">
      <c r="A295" s="812"/>
      <c r="B295" s="819"/>
      <c r="C295" s="823"/>
      <c r="D295" s="841"/>
      <c r="E295" s="842"/>
      <c r="F295" s="823"/>
      <c r="G295" s="833">
        <f t="shared" si="50"/>
        <v>0</v>
      </c>
      <c r="H295" s="10"/>
      <c r="I295" s="843"/>
      <c r="J295" s="843"/>
      <c r="K295" s="843"/>
      <c r="L295" s="843"/>
      <c r="M295" s="843"/>
    </row>
    <row r="296" spans="1:13" ht="12" customHeight="1" x14ac:dyDescent="0.2">
      <c r="A296" s="812"/>
      <c r="B296" s="823"/>
      <c r="C296" s="823"/>
      <c r="D296" s="823"/>
      <c r="E296" s="823"/>
      <c r="F296" s="823"/>
      <c r="G296" s="819"/>
      <c r="H296" s="10"/>
      <c r="I296" s="822"/>
      <c r="J296" s="822"/>
      <c r="K296" s="822"/>
      <c r="L296" s="822"/>
      <c r="M296" s="822"/>
    </row>
    <row r="297" spans="1:13" ht="12" customHeight="1" x14ac:dyDescent="0.2">
      <c r="A297" s="812"/>
      <c r="B297" s="819"/>
      <c r="C297" s="820" t="s">
        <v>402</v>
      </c>
      <c r="D297" s="821"/>
      <c r="E297" s="822"/>
      <c r="F297" s="823"/>
      <c r="G297" s="824">
        <f t="shared" ref="G297:G307" si="53">SUM(I297:BG297)</f>
        <v>0</v>
      </c>
      <c r="H297" s="10"/>
      <c r="I297" s="843"/>
      <c r="J297" s="843"/>
      <c r="K297" s="843"/>
      <c r="L297" s="843"/>
      <c r="M297" s="843"/>
    </row>
    <row r="298" spans="1:13" ht="12" customHeight="1" x14ac:dyDescent="0.2">
      <c r="A298" s="812"/>
      <c r="B298" s="819"/>
      <c r="C298" s="823"/>
      <c r="D298" s="837" t="str">
        <f t="shared" ref="D298:D307" si="54">D237</f>
        <v>Less than 3 months</v>
      </c>
      <c r="E298" s="838"/>
      <c r="F298" s="823"/>
      <c r="G298" s="827">
        <f t="shared" si="53"/>
        <v>0</v>
      </c>
      <c r="H298" s="10"/>
      <c r="I298" s="606"/>
      <c r="J298" s="606"/>
      <c r="K298" s="606"/>
      <c r="L298" s="606"/>
      <c r="M298" s="606"/>
    </row>
    <row r="299" spans="1:13" ht="12" customHeight="1" x14ac:dyDescent="0.2">
      <c r="A299" s="812"/>
      <c r="B299" s="819"/>
      <c r="C299" s="823"/>
      <c r="D299" s="839" t="str">
        <f t="shared" si="54"/>
        <v>3 to 12 months</v>
      </c>
      <c r="E299" s="840"/>
      <c r="F299" s="823"/>
      <c r="G299" s="827">
        <f t="shared" si="53"/>
        <v>0</v>
      </c>
      <c r="H299" s="10"/>
      <c r="I299" s="606"/>
      <c r="J299" s="606"/>
      <c r="K299" s="606"/>
      <c r="L299" s="606"/>
      <c r="M299" s="606"/>
    </row>
    <row r="300" spans="1:13" ht="12" customHeight="1" x14ac:dyDescent="0.2">
      <c r="A300" s="812"/>
      <c r="B300" s="819"/>
      <c r="C300" s="823"/>
      <c r="D300" s="839" t="str">
        <f t="shared" si="54"/>
        <v>1 to 5 years</v>
      </c>
      <c r="E300" s="840"/>
      <c r="F300" s="823"/>
      <c r="G300" s="827">
        <f t="shared" si="53"/>
        <v>0</v>
      </c>
      <c r="H300" s="10"/>
      <c r="I300" s="606"/>
      <c r="J300" s="606"/>
      <c r="K300" s="606"/>
      <c r="L300" s="606"/>
      <c r="M300" s="606"/>
    </row>
    <row r="301" spans="1:13" ht="12" customHeight="1" x14ac:dyDescent="0.2">
      <c r="A301" s="812"/>
      <c r="B301" s="819"/>
      <c r="C301" s="823"/>
      <c r="D301" s="839" t="str">
        <f t="shared" si="54"/>
        <v>More than 5 years</v>
      </c>
      <c r="E301" s="840"/>
      <c r="F301" s="823"/>
      <c r="G301" s="827">
        <f t="shared" si="53"/>
        <v>0</v>
      </c>
      <c r="H301" s="10"/>
      <c r="I301" s="606"/>
      <c r="J301" s="606"/>
      <c r="K301" s="606"/>
      <c r="L301" s="606"/>
      <c r="M301" s="606"/>
    </row>
    <row r="302" spans="1:13" ht="12" customHeight="1" x14ac:dyDescent="0.2">
      <c r="A302" s="812"/>
      <c r="B302" s="819"/>
      <c r="C302" s="823"/>
      <c r="D302" s="839">
        <f t="shared" si="54"/>
        <v>0</v>
      </c>
      <c r="E302" s="840"/>
      <c r="F302" s="823"/>
      <c r="G302" s="827">
        <f t="shared" si="53"/>
        <v>0</v>
      </c>
      <c r="H302" s="10"/>
      <c r="I302" s="606"/>
      <c r="J302" s="606"/>
      <c r="K302" s="606"/>
      <c r="L302" s="606"/>
      <c r="M302" s="606"/>
    </row>
    <row r="303" spans="1:13" ht="12" customHeight="1" x14ac:dyDescent="0.2">
      <c r="A303" s="812"/>
      <c r="B303" s="819"/>
      <c r="C303" s="823"/>
      <c r="D303" s="839">
        <f t="shared" si="54"/>
        <v>0</v>
      </c>
      <c r="E303" s="840"/>
      <c r="F303" s="823"/>
      <c r="G303" s="827">
        <f t="shared" si="53"/>
        <v>0</v>
      </c>
      <c r="H303" s="10"/>
      <c r="I303" s="606"/>
      <c r="J303" s="606"/>
      <c r="K303" s="606"/>
      <c r="L303" s="606"/>
      <c r="M303" s="606"/>
    </row>
    <row r="304" spans="1:13" ht="12" customHeight="1" x14ac:dyDescent="0.2">
      <c r="A304" s="812"/>
      <c r="B304" s="819"/>
      <c r="C304" s="823"/>
      <c r="D304" s="839">
        <f t="shared" si="54"/>
        <v>0</v>
      </c>
      <c r="E304" s="840"/>
      <c r="F304" s="823"/>
      <c r="G304" s="827">
        <f t="shared" si="53"/>
        <v>0</v>
      </c>
      <c r="H304" s="10"/>
      <c r="I304" s="606"/>
      <c r="J304" s="606"/>
      <c r="K304" s="606"/>
      <c r="L304" s="606"/>
      <c r="M304" s="606"/>
    </row>
    <row r="305" spans="1:13" ht="12" customHeight="1" x14ac:dyDescent="0.2">
      <c r="A305" s="812"/>
      <c r="B305" s="819"/>
      <c r="C305" s="823"/>
      <c r="D305" s="839">
        <f t="shared" si="54"/>
        <v>0</v>
      </c>
      <c r="E305" s="840"/>
      <c r="F305" s="823"/>
      <c r="G305" s="827">
        <f t="shared" si="53"/>
        <v>0</v>
      </c>
      <c r="H305" s="10"/>
      <c r="I305" s="606"/>
      <c r="J305" s="606"/>
      <c r="K305" s="606"/>
      <c r="L305" s="606"/>
      <c r="M305" s="606"/>
    </row>
    <row r="306" spans="1:13" ht="12" customHeight="1" x14ac:dyDescent="0.2">
      <c r="A306" s="812"/>
      <c r="B306" s="819"/>
      <c r="C306" s="823"/>
      <c r="D306" s="839">
        <f t="shared" si="54"/>
        <v>0</v>
      </c>
      <c r="E306" s="840"/>
      <c r="F306" s="823"/>
      <c r="G306" s="827">
        <f t="shared" si="53"/>
        <v>0</v>
      </c>
      <c r="H306" s="10"/>
      <c r="I306" s="606"/>
      <c r="J306" s="606"/>
      <c r="K306" s="606"/>
      <c r="L306" s="606"/>
      <c r="M306" s="606"/>
    </row>
    <row r="307" spans="1:13" ht="12" customHeight="1" x14ac:dyDescent="0.2">
      <c r="A307" s="812"/>
      <c r="B307" s="819"/>
      <c r="C307" s="823"/>
      <c r="D307" s="841">
        <f t="shared" si="54"/>
        <v>0</v>
      </c>
      <c r="E307" s="842"/>
      <c r="F307" s="823"/>
      <c r="G307" s="833">
        <f t="shared" si="53"/>
        <v>0</v>
      </c>
      <c r="H307" s="10"/>
      <c r="I307" s="606"/>
      <c r="J307" s="606"/>
      <c r="K307" s="606"/>
      <c r="L307" s="606"/>
      <c r="M307" s="606"/>
    </row>
    <row r="308" spans="1:13" ht="12" customHeight="1" x14ac:dyDescent="0.2">
      <c r="A308" s="812"/>
      <c r="B308" s="823"/>
      <c r="C308" s="823"/>
      <c r="D308" s="823"/>
      <c r="E308" s="823"/>
      <c r="F308" s="823"/>
      <c r="G308" s="819"/>
      <c r="H308" s="10"/>
      <c r="I308" s="822"/>
      <c r="J308" s="822"/>
      <c r="K308" s="822"/>
      <c r="L308" s="822"/>
      <c r="M308" s="822"/>
    </row>
    <row r="309" spans="1:13" ht="12" customHeight="1" x14ac:dyDescent="0.2">
      <c r="A309" s="812"/>
      <c r="B309" s="819"/>
      <c r="C309" s="820" t="s">
        <v>378</v>
      </c>
      <c r="D309" s="821"/>
      <c r="E309" s="822"/>
      <c r="F309" s="823"/>
      <c r="G309" s="824">
        <f>SUM(I309:BG309)</f>
        <v>0</v>
      </c>
      <c r="H309" s="10"/>
      <c r="I309" s="843"/>
      <c r="J309" s="843"/>
      <c r="K309" s="843"/>
      <c r="L309" s="843"/>
      <c r="M309" s="843"/>
    </row>
    <row r="310" spans="1:13" ht="12" customHeight="1" x14ac:dyDescent="0.2">
      <c r="A310" s="812"/>
      <c r="B310" s="819"/>
      <c r="C310" s="823"/>
      <c r="D310" s="837" t="str">
        <f t="shared" ref="D310:D313" si="55">D274</f>
        <v>Less than 3 months</v>
      </c>
      <c r="E310" s="838"/>
      <c r="F310" s="823"/>
      <c r="G310" s="827">
        <f>SUM(I310:BG310)</f>
        <v>0</v>
      </c>
      <c r="H310" s="10"/>
      <c r="I310" s="606"/>
      <c r="J310" s="606"/>
      <c r="K310" s="606"/>
      <c r="L310" s="606"/>
      <c r="M310" s="606"/>
    </row>
    <row r="311" spans="1:13" ht="12" customHeight="1" x14ac:dyDescent="0.2">
      <c r="A311" s="812"/>
      <c r="B311" s="819"/>
      <c r="C311" s="823"/>
      <c r="D311" s="839" t="str">
        <f t="shared" si="55"/>
        <v>3 to 12 months</v>
      </c>
      <c r="E311" s="840"/>
      <c r="F311" s="823"/>
      <c r="G311" s="827">
        <f>SUM(I311:BG311)</f>
        <v>0</v>
      </c>
      <c r="H311" s="10"/>
      <c r="I311" s="606"/>
      <c r="J311" s="606"/>
      <c r="K311" s="606"/>
      <c r="L311" s="606"/>
      <c r="M311" s="606"/>
    </row>
    <row r="312" spans="1:13" ht="12" customHeight="1" x14ac:dyDescent="0.2">
      <c r="A312" s="812"/>
      <c r="B312" s="819"/>
      <c r="C312" s="823"/>
      <c r="D312" s="839" t="str">
        <f t="shared" si="55"/>
        <v>1 to 5 years</v>
      </c>
      <c r="E312" s="840"/>
      <c r="F312" s="823"/>
      <c r="G312" s="827">
        <f>SUM(I312:BG312)</f>
        <v>0</v>
      </c>
      <c r="H312" s="10"/>
      <c r="I312" s="606"/>
      <c r="J312" s="606"/>
      <c r="K312" s="606"/>
      <c r="L312" s="606"/>
      <c r="M312" s="606"/>
    </row>
    <row r="313" spans="1:13" ht="12" customHeight="1" x14ac:dyDescent="0.2">
      <c r="A313" s="812"/>
      <c r="B313" s="819"/>
      <c r="C313" s="823"/>
      <c r="D313" s="839" t="str">
        <f t="shared" si="55"/>
        <v>More than 5 years</v>
      </c>
      <c r="E313" s="840"/>
      <c r="F313" s="823"/>
      <c r="G313" s="827">
        <f>SUM(I313:BG313)</f>
        <v>0</v>
      </c>
      <c r="H313" s="10"/>
      <c r="I313" s="606"/>
      <c r="J313" s="606"/>
      <c r="K313" s="606"/>
      <c r="L313" s="606"/>
      <c r="M313" s="606"/>
    </row>
  </sheetData>
  <mergeCells count="67">
    <mergeCell ref="A22:E22"/>
    <mergeCell ref="C193:E193"/>
    <mergeCell ref="C194:E194"/>
    <mergeCell ref="C195:E195"/>
    <mergeCell ref="C196:E196"/>
    <mergeCell ref="C135:E135"/>
    <mergeCell ref="C136:E136"/>
    <mergeCell ref="C137:E137"/>
    <mergeCell ref="C138:E138"/>
    <mergeCell ref="C139:E139"/>
    <mergeCell ref="C140:E140"/>
    <mergeCell ref="C141:E141"/>
    <mergeCell ref="C147:E147"/>
    <mergeCell ref="C148:E148"/>
    <mergeCell ref="C142:E142"/>
    <mergeCell ref="C143:E143"/>
    <mergeCell ref="C144:E144"/>
    <mergeCell ref="C145:E145"/>
    <mergeCell ref="C146:E146"/>
    <mergeCell ref="C157:E157"/>
    <mergeCell ref="C158:E158"/>
    <mergeCell ref="C152:E152"/>
    <mergeCell ref="C153:E153"/>
    <mergeCell ref="C154:E154"/>
    <mergeCell ref="C155:E155"/>
    <mergeCell ref="C156:E156"/>
    <mergeCell ref="C159:E159"/>
    <mergeCell ref="C160:E160"/>
    <mergeCell ref="C175:E175"/>
    <mergeCell ref="C167:E167"/>
    <mergeCell ref="C168:E168"/>
    <mergeCell ref="C169:E169"/>
    <mergeCell ref="C170:E170"/>
    <mergeCell ref="C171:E171"/>
    <mergeCell ref="C172:E172"/>
    <mergeCell ref="C173:E173"/>
    <mergeCell ref="C161:E161"/>
    <mergeCell ref="C162:E162"/>
    <mergeCell ref="C163:E163"/>
    <mergeCell ref="C164:E164"/>
    <mergeCell ref="C165:E165"/>
    <mergeCell ref="C166:E166"/>
    <mergeCell ref="C174:E174"/>
    <mergeCell ref="C182:E182"/>
    <mergeCell ref="C183:E183"/>
    <mergeCell ref="C176:E176"/>
    <mergeCell ref="C177:E177"/>
    <mergeCell ref="C184:E184"/>
    <mergeCell ref="C178:E178"/>
    <mergeCell ref="C179:E179"/>
    <mergeCell ref="C180:E180"/>
    <mergeCell ref="C181:E181"/>
    <mergeCell ref="B209:F209"/>
    <mergeCell ref="C185:E185"/>
    <mergeCell ref="C186:E186"/>
    <mergeCell ref="C187:E187"/>
    <mergeCell ref="C188:E188"/>
    <mergeCell ref="C189:E189"/>
    <mergeCell ref="C203:E203"/>
    <mergeCell ref="C207:E207"/>
    <mergeCell ref="C206:E206"/>
    <mergeCell ref="C205:E205"/>
    <mergeCell ref="C204:E204"/>
    <mergeCell ref="C202:E202"/>
    <mergeCell ref="C197:E197"/>
    <mergeCell ref="C200:E200"/>
    <mergeCell ref="C201:E201"/>
  </mergeCells>
  <dataValidations count="12">
    <dataValidation allowBlank="1" showInputMessage="1" showErrorMessage="1" prompt="This input is meant for information only; Please use for assumptions on the pertinent tabs" sqref="I105:N105"/>
    <dataValidation allowBlank="1" showInputMessage="1" showErrorMessage="1" prompt="Please define on Input Solvency Tab" sqref="A22:E22"/>
    <dataValidation type="whole" allowBlank="1" showInputMessage="1" showErrorMessage="1" promptTitle="Please enter month  " prompt="Example: 12 for end December figures" sqref="I6:M6">
      <formula1>1</formula1>
      <formula2>12</formula2>
    </dataValidation>
    <dataValidation allowBlank="1" showInputMessage="1" showErrorMessage="1" prompt="As defined by Basel III (Para. 54f), ie deposits covered by protection scheme, deposits of established customers, deposits in transactional accounts" sqref="I113:M113 I180:M180"/>
    <dataValidation allowBlank="1" sqref="I8:M9"/>
    <dataValidation allowBlank="1" showInputMessage="1" showErrorMessage="1" promptTitle="Please enter Bank name" sqref="I4:M4"/>
    <dataValidation type="whole" allowBlank="1" showInputMessage="1" showErrorMessage="1" errorTitle="Incorrect Input" error="Please check" promptTitle="Please enter reporting year" prompt="Example: 2009" sqref="I5:M5">
      <formula1>1990</formula1>
      <formula2>2020</formula2>
    </dataValidation>
    <dataValidation allowBlank="1" showInputMessage="1" showErrorMessage="1" prompt="Operational accounts is for clearing, custody and cash management activities._x000a_" sqref="C115:C116 C141"/>
    <dataValidation allowBlank="1" showInputMessage="1" showErrorMessage="1" sqref="C183"/>
    <dataValidation allowBlank="1" showInputMessage="1" showErrorMessage="1" prompt="Please change asset classes, if applicable_x000a__x000a_" sqref="C91:C103"/>
    <dataValidation allowBlank="1" showInputMessage="1" showErrorMessage="1" prompt="Please insert the Market Share of Islamic Banking Assets in Banking Assets" sqref="G17"/>
    <dataValidation allowBlank="1" showInputMessage="1" showErrorMessage="1" prompt="Please refer to GN-6 for the maturity less than 30 days. If the customer has right to withdraw its deposit before 30 days notice period without sigifican reduction of profit." sqref="I157:M157"/>
  </dataValidations>
  <pageMargins left="9.6759259259259253E-2" right="0.70866141732283472" top="0.74803149606299213" bottom="0.74803149606299213" header="0.31496062992125984" footer="0.31496062992125984"/>
  <pageSetup paperSize="9" scale="76" fitToHeight="0" orientation="landscape" r:id="rId1"/>
  <headerFooter alignWithMargins="0">
    <oddHeader xml:space="preserve">&amp;C© Islamic Financial Services Board 2017. 
This document is part of TN-2 (Technical Note on Stress Testing for Institutions offering Financial Services), December 2016. </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0070C0"/>
    <pageSetUpPr fitToPage="1"/>
  </sheetPr>
  <dimension ref="A1:W232"/>
  <sheetViews>
    <sheetView view="pageLayout" zoomScale="80" zoomScaleNormal="100" zoomScalePageLayoutView="80" workbookViewId="0"/>
  </sheetViews>
  <sheetFormatPr defaultColWidth="9.140625" defaultRowHeight="12.75" x14ac:dyDescent="0.2"/>
  <cols>
    <col min="1" max="1" width="53" style="344" customWidth="1"/>
    <col min="2" max="5" width="14" style="344" customWidth="1"/>
    <col min="6" max="6" width="18.28515625" style="344" customWidth="1"/>
    <col min="7" max="7" width="22.42578125" style="344" customWidth="1"/>
    <col min="8" max="8" width="18.85546875" style="344" customWidth="1"/>
    <col min="9" max="9" width="14.5703125" style="344" customWidth="1"/>
    <col min="10" max="10" width="14.85546875" style="344" customWidth="1"/>
    <col min="11" max="11" width="13.7109375" style="344" customWidth="1"/>
    <col min="12" max="12" width="14.5703125" style="344" customWidth="1"/>
    <col min="13" max="13" width="13.42578125" style="344" customWidth="1"/>
    <col min="14" max="14" width="15.42578125" style="344" customWidth="1"/>
    <col min="15" max="15" width="15.140625" style="344" customWidth="1"/>
    <col min="16" max="16" width="14.28515625" style="344" customWidth="1"/>
    <col min="17" max="17" width="13.5703125" style="344" customWidth="1"/>
    <col min="18" max="18" width="14" style="344" customWidth="1"/>
    <col min="19" max="22" width="13.7109375" style="344" customWidth="1"/>
    <col min="23" max="23" width="14.5703125" style="344" customWidth="1"/>
    <col min="24" max="16384" width="9.140625" style="11"/>
  </cols>
  <sheetData>
    <row r="1" spans="1:9" ht="13.5" thickBot="1" x14ac:dyDescent="0.25"/>
    <row r="2" spans="1:9" ht="16.5" thickBot="1" x14ac:dyDescent="0.3">
      <c r="A2" s="893" t="s">
        <v>416</v>
      </c>
      <c r="B2" s="894"/>
      <c r="C2" s="894"/>
      <c r="D2" s="894"/>
      <c r="E2" s="894"/>
      <c r="F2" s="894"/>
      <c r="G2" s="894"/>
      <c r="H2" s="894"/>
      <c r="I2" s="895"/>
    </row>
    <row r="4" spans="1:9" x14ac:dyDescent="0.2">
      <c r="A4" s="910" t="s">
        <v>316</v>
      </c>
      <c r="B4" s="911"/>
      <c r="C4" s="911"/>
      <c r="D4" s="911"/>
      <c r="E4" s="911"/>
      <c r="F4" s="911"/>
      <c r="G4" s="911"/>
      <c r="H4" s="911"/>
      <c r="I4" s="911"/>
    </row>
    <row r="6" spans="1:9" x14ac:dyDescent="0.2">
      <c r="A6" s="896" t="s">
        <v>430</v>
      </c>
      <c r="B6" s="897"/>
      <c r="C6" s="897"/>
      <c r="D6" s="898"/>
    </row>
    <row r="7" spans="1:9" x14ac:dyDescent="0.2">
      <c r="B7" s="364"/>
    </row>
    <row r="8" spans="1:9" x14ac:dyDescent="0.2">
      <c r="B8" s="365" t="s">
        <v>142</v>
      </c>
      <c r="D8" s="365" t="s">
        <v>143</v>
      </c>
    </row>
    <row r="9" spans="1:9" ht="51" x14ac:dyDescent="0.2">
      <c r="B9" s="366" t="s">
        <v>146</v>
      </c>
      <c r="C9" s="367"/>
      <c r="D9" s="366" t="s">
        <v>147</v>
      </c>
    </row>
    <row r="10" spans="1:9" x14ac:dyDescent="0.2">
      <c r="A10" s="368" t="s">
        <v>155</v>
      </c>
      <c r="B10" s="185">
        <v>0.03</v>
      </c>
      <c r="C10" s="369"/>
      <c r="D10" s="185">
        <v>0.05</v>
      </c>
    </row>
    <row r="11" spans="1:9" x14ac:dyDescent="0.2">
      <c r="A11" s="368" t="s">
        <v>166</v>
      </c>
      <c r="B11" s="185">
        <v>0.03</v>
      </c>
      <c r="D11" s="186">
        <v>0.1</v>
      </c>
    </row>
    <row r="12" spans="1:9" x14ac:dyDescent="0.2">
      <c r="A12" s="372" t="s">
        <v>317</v>
      </c>
      <c r="B12" s="373">
        <v>0.03</v>
      </c>
      <c r="D12" s="373">
        <v>0.05</v>
      </c>
    </row>
    <row r="13" spans="1:9" x14ac:dyDescent="0.2">
      <c r="A13" s="374" t="s">
        <v>54</v>
      </c>
      <c r="B13" s="376"/>
      <c r="D13" s="376"/>
    </row>
    <row r="14" spans="1:9" x14ac:dyDescent="0.2">
      <c r="A14" s="374" t="s">
        <v>55</v>
      </c>
      <c r="B14" s="376"/>
      <c r="D14" s="376"/>
    </row>
    <row r="15" spans="1:9" x14ac:dyDescent="0.2">
      <c r="A15" s="372" t="s">
        <v>335</v>
      </c>
      <c r="B15" s="376">
        <v>0.1</v>
      </c>
      <c r="D15" s="376">
        <v>0.1</v>
      </c>
    </row>
    <row r="16" spans="1:9" x14ac:dyDescent="0.2">
      <c r="A16" s="374"/>
      <c r="B16" s="376"/>
      <c r="D16" s="376"/>
    </row>
    <row r="17" spans="1:4" x14ac:dyDescent="0.2">
      <c r="A17" s="374"/>
      <c r="B17" s="376"/>
      <c r="D17" s="376"/>
    </row>
    <row r="18" spans="1:4" x14ac:dyDescent="0.2">
      <c r="A18" s="374"/>
      <c r="B18" s="376"/>
      <c r="D18" s="376"/>
    </row>
    <row r="19" spans="1:4" x14ac:dyDescent="0.2">
      <c r="A19" s="374"/>
      <c r="B19" s="376"/>
      <c r="D19" s="376"/>
    </row>
    <row r="20" spans="1:4" x14ac:dyDescent="0.2">
      <c r="A20" s="374"/>
      <c r="B20" s="376"/>
      <c r="D20" s="376"/>
    </row>
    <row r="21" spans="1:4" x14ac:dyDescent="0.2">
      <c r="A21" s="377"/>
      <c r="B21" s="378"/>
      <c r="D21" s="376"/>
    </row>
    <row r="22" spans="1:4" x14ac:dyDescent="0.2">
      <c r="A22" s="379"/>
    </row>
    <row r="23" spans="1:4" x14ac:dyDescent="0.2">
      <c r="A23" s="368" t="s">
        <v>438</v>
      </c>
      <c r="B23" s="185">
        <v>0.03</v>
      </c>
      <c r="D23" s="185">
        <v>0.03</v>
      </c>
    </row>
    <row r="24" spans="1:4" x14ac:dyDescent="0.2">
      <c r="A24" s="372" t="s">
        <v>434</v>
      </c>
      <c r="B24" s="373">
        <v>0.03</v>
      </c>
      <c r="D24" s="381">
        <v>0.01</v>
      </c>
    </row>
    <row r="25" spans="1:4" x14ac:dyDescent="0.2">
      <c r="A25" s="372" t="s">
        <v>436</v>
      </c>
      <c r="B25" s="382">
        <v>0.03</v>
      </c>
      <c r="D25" s="376"/>
    </row>
    <row r="26" spans="1:4" x14ac:dyDescent="0.2">
      <c r="A26" s="372"/>
      <c r="B26" s="376"/>
      <c r="D26" s="376"/>
    </row>
    <row r="27" spans="1:4" x14ac:dyDescent="0.2">
      <c r="A27" s="372" t="s">
        <v>435</v>
      </c>
      <c r="B27" s="376">
        <v>0.06</v>
      </c>
      <c r="D27" s="382">
        <v>0.02</v>
      </c>
    </row>
    <row r="28" spans="1:4" x14ac:dyDescent="0.2">
      <c r="A28" s="372" t="s">
        <v>437</v>
      </c>
      <c r="B28" s="376">
        <v>0.06</v>
      </c>
      <c r="D28" s="376"/>
    </row>
    <row r="29" spans="1:4" x14ac:dyDescent="0.2">
      <c r="A29" s="374" t="s">
        <v>56</v>
      </c>
      <c r="B29" s="376"/>
      <c r="D29" s="376"/>
    </row>
    <row r="30" spans="1:4" x14ac:dyDescent="0.2">
      <c r="A30" s="374" t="s">
        <v>57</v>
      </c>
      <c r="B30" s="376"/>
      <c r="D30" s="376"/>
    </row>
    <row r="31" spans="1:4" x14ac:dyDescent="0.2">
      <c r="A31" s="374" t="s">
        <v>60</v>
      </c>
      <c r="B31" s="376"/>
      <c r="D31" s="376"/>
    </row>
    <row r="32" spans="1:4" x14ac:dyDescent="0.2">
      <c r="A32" s="372" t="s">
        <v>412</v>
      </c>
      <c r="B32" s="376">
        <v>0.2</v>
      </c>
      <c r="D32" s="376"/>
    </row>
    <row r="33" spans="1:4" x14ac:dyDescent="0.2">
      <c r="A33" s="383" t="s">
        <v>169</v>
      </c>
      <c r="B33" s="378">
        <v>0.03</v>
      </c>
      <c r="D33" s="376"/>
    </row>
    <row r="34" spans="1:4" x14ac:dyDescent="0.2">
      <c r="A34" s="384"/>
    </row>
    <row r="35" spans="1:4" x14ac:dyDescent="0.2">
      <c r="A35" s="368" t="s">
        <v>44</v>
      </c>
      <c r="B35" s="186">
        <v>0</v>
      </c>
      <c r="D35" s="186">
        <v>0</v>
      </c>
    </row>
    <row r="36" spans="1:4" x14ac:dyDescent="0.2">
      <c r="A36" s="385" t="s">
        <v>52</v>
      </c>
      <c r="B36" s="373"/>
      <c r="D36" s="373"/>
    </row>
    <row r="37" spans="1:4" x14ac:dyDescent="0.2">
      <c r="A37" s="386" t="s">
        <v>46</v>
      </c>
      <c r="B37" s="376"/>
      <c r="D37" s="376"/>
    </row>
    <row r="38" spans="1:4" x14ac:dyDescent="0.2">
      <c r="A38" s="386" t="s">
        <v>47</v>
      </c>
      <c r="B38" s="376"/>
      <c r="D38" s="376"/>
    </row>
    <row r="39" spans="1:4" x14ac:dyDescent="0.2">
      <c r="A39" s="386" t="s">
        <v>172</v>
      </c>
      <c r="B39" s="376"/>
      <c r="D39" s="376"/>
    </row>
    <row r="40" spans="1:4" x14ac:dyDescent="0.2">
      <c r="A40" s="386" t="s">
        <v>49</v>
      </c>
      <c r="B40" s="376"/>
      <c r="D40" s="376"/>
    </row>
    <row r="41" spans="1:4" x14ac:dyDescent="0.2">
      <c r="A41" s="386" t="s">
        <v>4</v>
      </c>
      <c r="B41" s="376"/>
      <c r="D41" s="376"/>
    </row>
    <row r="42" spans="1:4" x14ac:dyDescent="0.2">
      <c r="A42" s="386" t="s">
        <v>50</v>
      </c>
      <c r="B42" s="376"/>
      <c r="D42" s="376"/>
    </row>
    <row r="43" spans="1:4" x14ac:dyDescent="0.2">
      <c r="A43" s="387" t="s">
        <v>53</v>
      </c>
      <c r="B43" s="378"/>
      <c r="D43" s="378"/>
    </row>
    <row r="44" spans="1:4" x14ac:dyDescent="0.2">
      <c r="A44" s="384"/>
    </row>
    <row r="45" spans="1:4" ht="25.5" x14ac:dyDescent="0.2">
      <c r="A45" s="368" t="s">
        <v>26</v>
      </c>
      <c r="B45" s="388" t="s">
        <v>158</v>
      </c>
      <c r="C45" s="389" t="s">
        <v>159</v>
      </c>
      <c r="D45" s="388" t="s">
        <v>158</v>
      </c>
    </row>
    <row r="46" spans="1:4" x14ac:dyDescent="0.2">
      <c r="A46" s="390"/>
    </row>
    <row r="47" spans="1:4" ht="25.5" x14ac:dyDescent="0.2">
      <c r="A47" s="391" t="s">
        <v>27</v>
      </c>
      <c r="B47" s="388" t="s">
        <v>158</v>
      </c>
      <c r="C47" s="389" t="s">
        <v>159</v>
      </c>
      <c r="D47" s="388" t="s">
        <v>158</v>
      </c>
    </row>
    <row r="48" spans="1:4" x14ac:dyDescent="0.2">
      <c r="A48" s="392"/>
    </row>
    <row r="49" spans="1:9" ht="63.75" x14ac:dyDescent="0.2">
      <c r="A49" s="393" t="s">
        <v>168</v>
      </c>
      <c r="B49" s="394">
        <v>0</v>
      </c>
      <c r="C49" s="395" t="s">
        <v>160</v>
      </c>
      <c r="D49" s="396">
        <v>0</v>
      </c>
    </row>
    <row r="50" spans="1:9" x14ac:dyDescent="0.2">
      <c r="A50" s="397" t="s">
        <v>446</v>
      </c>
      <c r="B50" s="373">
        <v>0</v>
      </c>
      <c r="D50" s="376">
        <v>0</v>
      </c>
    </row>
    <row r="51" spans="1:9" x14ac:dyDescent="0.2">
      <c r="A51" s="386" t="s">
        <v>331</v>
      </c>
      <c r="B51" s="376">
        <v>0</v>
      </c>
      <c r="D51" s="376">
        <v>0</v>
      </c>
    </row>
    <row r="52" spans="1:9" x14ac:dyDescent="0.2">
      <c r="A52" s="386" t="s">
        <v>447</v>
      </c>
      <c r="B52" s="376">
        <v>0</v>
      </c>
      <c r="D52" s="376">
        <v>0</v>
      </c>
    </row>
    <row r="53" spans="1:9" x14ac:dyDescent="0.2">
      <c r="A53" s="386" t="s">
        <v>447</v>
      </c>
      <c r="B53" s="376">
        <v>0</v>
      </c>
      <c r="D53" s="376">
        <v>0</v>
      </c>
    </row>
    <row r="54" spans="1:9" x14ac:dyDescent="0.2">
      <c r="A54" s="398" t="s">
        <v>447</v>
      </c>
      <c r="B54" s="378">
        <v>0</v>
      </c>
      <c r="D54" s="376">
        <v>0</v>
      </c>
    </row>
    <row r="56" spans="1:9" x14ac:dyDescent="0.2">
      <c r="A56" s="399" t="s">
        <v>161</v>
      </c>
      <c r="B56" s="400">
        <v>0</v>
      </c>
      <c r="C56" s="401"/>
      <c r="D56" s="376">
        <v>0</v>
      </c>
    </row>
    <row r="58" spans="1:9" x14ac:dyDescent="0.2">
      <c r="A58" s="399" t="s">
        <v>61</v>
      </c>
      <c r="B58" s="400">
        <v>0</v>
      </c>
      <c r="C58" s="401"/>
      <c r="D58" s="376">
        <v>0</v>
      </c>
    </row>
    <row r="59" spans="1:9" ht="15" customHeight="1" x14ac:dyDescent="0.2"/>
    <row r="60" spans="1:9" ht="15" customHeight="1" x14ac:dyDescent="0.2"/>
    <row r="61" spans="1:9" ht="15" customHeight="1" x14ac:dyDescent="0.2"/>
    <row r="62" spans="1:9" ht="15" customHeight="1" x14ac:dyDescent="0.2">
      <c r="A62" s="912" t="s">
        <v>141</v>
      </c>
      <c r="B62" s="913"/>
      <c r="C62" s="913"/>
      <c r="D62" s="913"/>
      <c r="E62" s="913"/>
      <c r="F62" s="913"/>
      <c r="G62" s="913"/>
      <c r="H62" s="913"/>
      <c r="I62" s="913"/>
    </row>
    <row r="63" spans="1:9" ht="15.75" customHeight="1" x14ac:dyDescent="0.2"/>
    <row r="64" spans="1:9" ht="15.75" customHeight="1" x14ac:dyDescent="0.2">
      <c r="B64" s="917" t="s">
        <v>144</v>
      </c>
      <c r="C64" s="918"/>
      <c r="D64" s="918"/>
      <c r="E64" s="918"/>
      <c r="F64" s="918"/>
      <c r="G64" s="918"/>
      <c r="H64" s="918"/>
    </row>
    <row r="65" spans="1:8" ht="51.75" customHeight="1" x14ac:dyDescent="0.2">
      <c r="B65" s="345" t="s">
        <v>148</v>
      </c>
      <c r="C65" s="346" t="s">
        <v>149</v>
      </c>
      <c r="D65" s="345" t="s">
        <v>150</v>
      </c>
      <c r="E65" s="347" t="s">
        <v>151</v>
      </c>
      <c r="F65" s="347" t="s">
        <v>152</v>
      </c>
      <c r="G65" s="348" t="s">
        <v>153</v>
      </c>
      <c r="H65" s="347" t="s">
        <v>154</v>
      </c>
    </row>
    <row r="66" spans="1:8" ht="15.75" customHeight="1" x14ac:dyDescent="0.25">
      <c r="A66" s="368" t="s">
        <v>30</v>
      </c>
      <c r="B66" s="349"/>
      <c r="C66" s="349"/>
      <c r="D66" s="607">
        <f>SUMPRODUCT(D67:D79,'2-Input - IIFS Liqudity'!G91:G103)/'2-Input - IIFS Liqudity'!G90</f>
        <v>0.27148992518440718</v>
      </c>
      <c r="E66" s="349"/>
      <c r="F66" s="349"/>
      <c r="G66" s="607">
        <f>SUMPRODUCT(G67:G79,'2-Input - IIFS Liqudity'!G91:G103)/'2-Input - IIFS Liqudity'!G90</f>
        <v>1.2392315125921576</v>
      </c>
      <c r="H66" s="607">
        <f>SUMPRODUCT(H67:H79,'2-Input - IIFS Liqudity'!G91:G103)/'2-Input - IIFS Liqudity'!G90</f>
        <v>0.27148992518440718</v>
      </c>
    </row>
    <row r="67" spans="1:8" ht="15.75" customHeight="1" x14ac:dyDescent="0.2">
      <c r="A67" s="370" t="str">
        <f>+'2-Input - IIFS Liqudity'!C91</f>
        <v>Cash and cash equivalent</v>
      </c>
      <c r="B67" s="350" t="s">
        <v>123</v>
      </c>
      <c r="C67" s="351">
        <v>0</v>
      </c>
      <c r="D67" s="352">
        <f>IF(B67="No",0,1-C67)</f>
        <v>1</v>
      </c>
      <c r="E67" s="350">
        <v>0</v>
      </c>
      <c r="F67" s="351"/>
      <c r="G67" s="349">
        <f t="shared" ref="G67:G79" si="0">IF(ISNUMBER(E67),1-(F67+E67),"n.a.")</f>
        <v>1</v>
      </c>
      <c r="H67" s="371">
        <f t="shared" ref="H67:H79" si="1">IF(ISNUMBER(G67*(D67)),G67*(D67),"n.a.")</f>
        <v>1</v>
      </c>
    </row>
    <row r="68" spans="1:8" ht="15.75" customHeight="1" x14ac:dyDescent="0.2">
      <c r="A68" s="374" t="str">
        <f>+'2-Input - IIFS Liqudity'!C92</f>
        <v>Central Bank Reserves</v>
      </c>
      <c r="B68" s="354" t="s">
        <v>123</v>
      </c>
      <c r="C68" s="355">
        <v>0</v>
      </c>
      <c r="D68" s="356">
        <f t="shared" ref="D68:D79" si="2">IF(B68="No",0,1-C68)</f>
        <v>1</v>
      </c>
      <c r="E68" s="354">
        <v>0</v>
      </c>
      <c r="F68" s="355"/>
      <c r="G68" s="358">
        <f t="shared" si="0"/>
        <v>1</v>
      </c>
      <c r="H68" s="375">
        <f t="shared" si="1"/>
        <v>1</v>
      </c>
    </row>
    <row r="69" spans="1:8" ht="15.75" customHeight="1" x14ac:dyDescent="0.2">
      <c r="A69" s="374" t="str">
        <f>+'2-Input - IIFS Liqudity'!C93</f>
        <v>Government Sukuk &amp; Treasury Instruments and other exposure with 0% risk-weighting</v>
      </c>
      <c r="B69" s="354" t="s">
        <v>123</v>
      </c>
      <c r="C69" s="355">
        <v>0.2</v>
      </c>
      <c r="D69" s="356">
        <f t="shared" si="2"/>
        <v>0.8</v>
      </c>
      <c r="E69" s="354">
        <v>0</v>
      </c>
      <c r="F69" s="355"/>
      <c r="G69" s="358">
        <f t="shared" si="0"/>
        <v>1</v>
      </c>
      <c r="H69" s="375">
        <f t="shared" si="1"/>
        <v>0.8</v>
      </c>
    </row>
    <row r="70" spans="1:8" ht="15.75" customHeight="1" x14ac:dyDescent="0.2">
      <c r="A70" s="374" t="str">
        <f>+'2-Input - IIFS Liqudity'!C94</f>
        <v>Financial assets held-to maturity</v>
      </c>
      <c r="B70" s="354" t="s">
        <v>156</v>
      </c>
      <c r="C70" s="355"/>
      <c r="D70" s="356">
        <f t="shared" si="2"/>
        <v>0</v>
      </c>
      <c r="E70" s="354">
        <v>0</v>
      </c>
      <c r="F70" s="355"/>
      <c r="G70" s="358">
        <f t="shared" si="0"/>
        <v>1</v>
      </c>
      <c r="H70" s="375">
        <f t="shared" si="1"/>
        <v>0</v>
      </c>
    </row>
    <row r="71" spans="1:8" ht="15.75" customHeight="1" x14ac:dyDescent="0.2">
      <c r="A71" s="374" t="str">
        <f>+'2-Input - IIFS Liqudity'!C95</f>
        <v>Financial assets available for sale (Investments)</v>
      </c>
      <c r="B71" s="354" t="s">
        <v>123</v>
      </c>
      <c r="C71" s="355">
        <v>0.3</v>
      </c>
      <c r="D71" s="356">
        <f t="shared" si="2"/>
        <v>0.7</v>
      </c>
      <c r="E71" s="354">
        <v>0</v>
      </c>
      <c r="F71" s="355"/>
      <c r="G71" s="358">
        <f t="shared" si="0"/>
        <v>1</v>
      </c>
      <c r="H71" s="375">
        <f t="shared" si="1"/>
        <v>0.7</v>
      </c>
    </row>
    <row r="72" spans="1:8" ht="15.75" customHeight="1" x14ac:dyDescent="0.2">
      <c r="A72" s="374" t="str">
        <f>+'2-Input - IIFS Liqudity'!C96</f>
        <v>Financial assets held-for-trading</v>
      </c>
      <c r="B72" s="354" t="s">
        <v>123</v>
      </c>
      <c r="C72" s="355">
        <v>0.4</v>
      </c>
      <c r="D72" s="356">
        <f t="shared" si="2"/>
        <v>0.6</v>
      </c>
      <c r="E72" s="354">
        <v>0</v>
      </c>
      <c r="F72" s="355"/>
      <c r="G72" s="358">
        <f t="shared" si="0"/>
        <v>1</v>
      </c>
      <c r="H72" s="375">
        <f t="shared" si="1"/>
        <v>0.6</v>
      </c>
    </row>
    <row r="73" spans="1:8" ht="15.75" customHeight="1" x14ac:dyDescent="0.2">
      <c r="A73" s="374" t="str">
        <f>+'2-Input - IIFS Liqudity'!C97</f>
        <v>Asset backed assets</v>
      </c>
      <c r="B73" s="354" t="s">
        <v>156</v>
      </c>
      <c r="C73" s="355">
        <v>0</v>
      </c>
      <c r="D73" s="356">
        <f t="shared" si="2"/>
        <v>0</v>
      </c>
      <c r="E73" s="354">
        <v>0</v>
      </c>
      <c r="F73" s="355"/>
      <c r="G73" s="358">
        <f t="shared" si="0"/>
        <v>1</v>
      </c>
      <c r="H73" s="375">
        <f t="shared" si="1"/>
        <v>0</v>
      </c>
    </row>
    <row r="74" spans="1:8" ht="15.75" customHeight="1" x14ac:dyDescent="0.2">
      <c r="A74" s="374" t="str">
        <f>+'2-Input - IIFS Liqudity'!C98</f>
        <v>Equities</v>
      </c>
      <c r="B74" s="354" t="s">
        <v>123</v>
      </c>
      <c r="C74" s="355">
        <v>0.5</v>
      </c>
      <c r="D74" s="356">
        <f t="shared" si="2"/>
        <v>0.5</v>
      </c>
      <c r="E74" s="354">
        <v>0</v>
      </c>
      <c r="F74" s="355"/>
      <c r="G74" s="358">
        <f t="shared" si="0"/>
        <v>1</v>
      </c>
      <c r="H74" s="375">
        <f t="shared" si="1"/>
        <v>0.5</v>
      </c>
    </row>
    <row r="75" spans="1:8" ht="15.75" customHeight="1" x14ac:dyDescent="0.2">
      <c r="A75" s="374" t="str">
        <f>+'2-Input - IIFS Liqudity'!C99</f>
        <v>Hedging Products</v>
      </c>
      <c r="B75" s="354" t="s">
        <v>123</v>
      </c>
      <c r="C75" s="355">
        <v>0.5</v>
      </c>
      <c r="D75" s="356">
        <f t="shared" si="2"/>
        <v>0.5</v>
      </c>
      <c r="E75" s="354">
        <v>0</v>
      </c>
      <c r="F75" s="355"/>
      <c r="G75" s="358">
        <f t="shared" si="0"/>
        <v>1</v>
      </c>
      <c r="H75" s="375">
        <f t="shared" si="1"/>
        <v>0.5</v>
      </c>
    </row>
    <row r="76" spans="1:8" ht="15.75" customHeight="1" x14ac:dyDescent="0.2">
      <c r="A76" s="374" t="str">
        <f>+'2-Input - IIFS Liqudity'!C100</f>
        <v>Other assets</v>
      </c>
      <c r="B76" s="354" t="s">
        <v>156</v>
      </c>
      <c r="C76" s="355"/>
      <c r="D76" s="356">
        <f t="shared" si="2"/>
        <v>0</v>
      </c>
      <c r="E76" s="354">
        <v>0</v>
      </c>
      <c r="F76" s="355"/>
      <c r="G76" s="358">
        <f t="shared" si="0"/>
        <v>1</v>
      </c>
      <c r="H76" s="375">
        <f t="shared" si="1"/>
        <v>0</v>
      </c>
    </row>
    <row r="77" spans="1:8" ht="15.75" customHeight="1" x14ac:dyDescent="0.2">
      <c r="A77" s="374" t="str">
        <f>+'2-Input - IIFS Liqudity'!C101</f>
        <v>Intra group financing and commitments</v>
      </c>
      <c r="B77" s="354" t="s">
        <v>156</v>
      </c>
      <c r="C77" s="355"/>
      <c r="D77" s="356">
        <f t="shared" si="2"/>
        <v>0</v>
      </c>
      <c r="E77" s="354">
        <v>0</v>
      </c>
      <c r="F77" s="355"/>
      <c r="G77" s="358">
        <f t="shared" si="0"/>
        <v>1</v>
      </c>
      <c r="H77" s="375">
        <f t="shared" si="1"/>
        <v>0</v>
      </c>
    </row>
    <row r="78" spans="1:8" ht="15.75" customHeight="1" x14ac:dyDescent="0.2">
      <c r="A78" s="374" t="str">
        <f>+'2-Input - IIFS Liqudity'!C102</f>
        <v>Financing (customers /financial institutions financing)</v>
      </c>
      <c r="B78" s="354" t="s">
        <v>156</v>
      </c>
      <c r="C78" s="355"/>
      <c r="D78" s="356">
        <f t="shared" si="2"/>
        <v>0</v>
      </c>
      <c r="E78" s="354">
        <v>0</v>
      </c>
      <c r="F78" s="355"/>
      <c r="G78" s="358">
        <f t="shared" si="0"/>
        <v>1</v>
      </c>
      <c r="H78" s="375">
        <f t="shared" si="1"/>
        <v>0</v>
      </c>
    </row>
    <row r="79" spans="1:8" ht="15.75" customHeight="1" x14ac:dyDescent="0.2">
      <c r="A79" s="377" t="str">
        <f>+'2-Input - IIFS Liqudity'!C103</f>
        <v>Off-balance sheet financing</v>
      </c>
      <c r="B79" s="359" t="s">
        <v>156</v>
      </c>
      <c r="C79" s="360"/>
      <c r="D79" s="361">
        <f t="shared" si="2"/>
        <v>0</v>
      </c>
      <c r="E79" s="359">
        <v>0</v>
      </c>
      <c r="F79" s="360"/>
      <c r="G79" s="363">
        <f t="shared" si="0"/>
        <v>1</v>
      </c>
      <c r="H79" s="380">
        <f t="shared" si="1"/>
        <v>0</v>
      </c>
    </row>
    <row r="80" spans="1:8" ht="15.75" customHeight="1" x14ac:dyDescent="0.2"/>
    <row r="81" spans="1:23" ht="15" customHeight="1" x14ac:dyDescent="0.2">
      <c r="A81" s="11"/>
      <c r="B81" s="11"/>
      <c r="C81" s="11"/>
      <c r="D81" s="11"/>
      <c r="E81" s="11"/>
      <c r="F81" s="11"/>
      <c r="G81" s="11"/>
      <c r="H81" s="11"/>
      <c r="J81" s="11"/>
      <c r="K81" s="11"/>
      <c r="L81" s="11"/>
      <c r="M81" s="11"/>
      <c r="N81" s="11"/>
      <c r="O81" s="11"/>
      <c r="P81" s="11"/>
      <c r="V81" s="11"/>
      <c r="W81" s="11"/>
    </row>
    <row r="82" spans="1:23" x14ac:dyDescent="0.2">
      <c r="A82" s="11"/>
      <c r="B82" s="912" t="s">
        <v>145</v>
      </c>
      <c r="C82" s="913"/>
      <c r="D82" s="913"/>
      <c r="E82" s="913"/>
      <c r="F82" s="913"/>
      <c r="G82" s="913"/>
      <c r="H82" s="916"/>
      <c r="J82" s="11"/>
      <c r="K82" s="11"/>
      <c r="L82" s="11"/>
      <c r="M82" s="11"/>
      <c r="N82" s="11"/>
      <c r="O82" s="11"/>
      <c r="P82" s="11"/>
      <c r="V82" s="11"/>
      <c r="W82" s="11"/>
    </row>
    <row r="83" spans="1:23" ht="44.25" customHeight="1" x14ac:dyDescent="0.2">
      <c r="A83" s="11"/>
      <c r="B83" s="345" t="s">
        <v>148</v>
      </c>
      <c r="C83" s="346" t="s">
        <v>149</v>
      </c>
      <c r="D83" s="345" t="s">
        <v>150</v>
      </c>
      <c r="E83" s="347" t="s">
        <v>151</v>
      </c>
      <c r="F83" s="347" t="s">
        <v>152</v>
      </c>
      <c r="G83" s="348" t="s">
        <v>153</v>
      </c>
      <c r="H83" s="347" t="s">
        <v>154</v>
      </c>
      <c r="J83" s="11"/>
      <c r="K83" s="11"/>
      <c r="L83" s="11"/>
      <c r="M83" s="11"/>
      <c r="N83" s="11"/>
      <c r="O83" s="11"/>
      <c r="P83" s="11"/>
      <c r="V83" s="11"/>
      <c r="W83" s="11"/>
    </row>
    <row r="84" spans="1:23" ht="15" customHeight="1" x14ac:dyDescent="0.25">
      <c r="A84" s="374" t="s">
        <v>30</v>
      </c>
      <c r="B84" s="349"/>
      <c r="C84" s="349"/>
      <c r="D84" s="607">
        <f>SUMPRODUCT(D85:D97,'2-Input - IIFS Liqudity'!G91:G103)/'2-Input - IIFS Liqudity'!G90</f>
        <v>0.27148992518440718</v>
      </c>
      <c r="E84" s="349"/>
      <c r="F84" s="349"/>
      <c r="G84" s="607">
        <f>SUMPRODUCT(G85:G97,'2-Input - IIFS Liqudity'!G91:G103)/'2-Input - IIFS Liqudity'!G90</f>
        <v>1.2392315125921576</v>
      </c>
      <c r="H84" s="607">
        <f>SUMPRODUCT(H85:H97,'2-Input - IIFS Liqudity'!G91:G103)/'2-Input - IIFS Liqudity'!G90</f>
        <v>0.27148992518440718</v>
      </c>
      <c r="J84" s="11"/>
      <c r="K84" s="11"/>
      <c r="L84" s="11"/>
      <c r="M84" s="11"/>
      <c r="N84" s="11"/>
      <c r="O84" s="11"/>
      <c r="P84" s="11"/>
      <c r="V84" s="11"/>
      <c r="W84" s="11"/>
    </row>
    <row r="85" spans="1:23" ht="15" customHeight="1" x14ac:dyDescent="0.2">
      <c r="A85" s="374" t="str">
        <f>+'2-Input - IIFS Liqudity'!C109</f>
        <v>Level 1 Assets</v>
      </c>
      <c r="B85" s="350" t="s">
        <v>123</v>
      </c>
      <c r="C85" s="351">
        <v>0</v>
      </c>
      <c r="D85" s="352">
        <f>IF(B85="No",0,1-C85)</f>
        <v>1</v>
      </c>
      <c r="E85" s="350">
        <v>0</v>
      </c>
      <c r="F85" s="353"/>
      <c r="G85" s="349">
        <f>IF(ISNUMBER(E85),1-(F85+E85),"n.a.")</f>
        <v>1</v>
      </c>
      <c r="H85" s="349">
        <f>IF(ISNUMBER(G85*(D85)),G85*(D85),"n.a.")</f>
        <v>1</v>
      </c>
      <c r="J85" s="11"/>
      <c r="K85" s="11"/>
      <c r="L85" s="11"/>
      <c r="M85" s="11"/>
      <c r="N85" s="11"/>
      <c r="O85" s="11"/>
      <c r="P85" s="11"/>
      <c r="V85" s="11"/>
      <c r="W85" s="11"/>
    </row>
    <row r="86" spans="1:23" ht="15" customHeight="1" x14ac:dyDescent="0.2">
      <c r="A86" s="374" t="str">
        <f>+'2-Input - IIFS Liqudity'!C110</f>
        <v>Level 2A Assets</v>
      </c>
      <c r="B86" s="354" t="s">
        <v>123</v>
      </c>
      <c r="C86" s="355">
        <v>0</v>
      </c>
      <c r="D86" s="356">
        <f t="shared" ref="D86:D97" si="3">IF(B86="No",0,1-C86)</f>
        <v>1</v>
      </c>
      <c r="E86" s="354">
        <v>0</v>
      </c>
      <c r="F86" s="357"/>
      <c r="G86" s="358">
        <f t="shared" ref="G86:G97" si="4">IF(ISNUMBER(E86),1-(F86+E86),"n.a.")</f>
        <v>1</v>
      </c>
      <c r="H86" s="358">
        <f t="shared" ref="H86:H97" si="5">IF(ISNUMBER(G86*(D86)),G86*(D86),"n.a.")</f>
        <v>1</v>
      </c>
      <c r="J86" s="11"/>
      <c r="K86" s="11"/>
      <c r="L86" s="11"/>
      <c r="M86" s="11"/>
      <c r="N86" s="11"/>
      <c r="O86" s="11"/>
      <c r="P86" s="11"/>
      <c r="V86" s="11"/>
      <c r="W86" s="11"/>
    </row>
    <row r="87" spans="1:23" ht="15" customHeight="1" x14ac:dyDescent="0.2">
      <c r="A87" s="374" t="str">
        <f>+'2-Input - IIFS Liqudity'!C111</f>
        <v>Level 2B Assets</v>
      </c>
      <c r="B87" s="354" t="s">
        <v>123</v>
      </c>
      <c r="C87" s="355">
        <v>0.2</v>
      </c>
      <c r="D87" s="356">
        <f t="shared" si="3"/>
        <v>0.8</v>
      </c>
      <c r="E87" s="354">
        <v>0</v>
      </c>
      <c r="F87" s="357"/>
      <c r="G87" s="358">
        <f t="shared" si="4"/>
        <v>1</v>
      </c>
      <c r="H87" s="358">
        <f t="shared" si="5"/>
        <v>0.8</v>
      </c>
      <c r="J87" s="11"/>
      <c r="K87" s="11"/>
      <c r="L87" s="11"/>
      <c r="M87" s="11"/>
      <c r="N87" s="11"/>
      <c r="O87" s="11"/>
      <c r="P87" s="11"/>
      <c r="V87" s="11"/>
      <c r="W87" s="11"/>
    </row>
    <row r="88" spans="1:23" ht="15" customHeight="1" x14ac:dyDescent="0.2">
      <c r="A88" s="374" t="str">
        <f>+'2-Input - IIFS Liqudity'!C112</f>
        <v>ALA treatment</v>
      </c>
      <c r="B88" s="354" t="s">
        <v>156</v>
      </c>
      <c r="C88" s="355"/>
      <c r="D88" s="356">
        <f t="shared" si="3"/>
        <v>0</v>
      </c>
      <c r="E88" s="354">
        <v>0</v>
      </c>
      <c r="F88" s="357"/>
      <c r="G88" s="358">
        <f t="shared" si="4"/>
        <v>1</v>
      </c>
      <c r="H88" s="358">
        <f t="shared" si="5"/>
        <v>0</v>
      </c>
      <c r="J88" s="11"/>
      <c r="K88" s="11"/>
      <c r="L88" s="11"/>
      <c r="M88" s="11"/>
      <c r="N88" s="11"/>
      <c r="O88" s="11"/>
      <c r="P88" s="11"/>
      <c r="V88" s="11"/>
      <c r="W88" s="11"/>
    </row>
    <row r="89" spans="1:23" ht="15" customHeight="1" x14ac:dyDescent="0.2">
      <c r="A89" s="374" t="str">
        <f>+'2-Input - IIFS Liqudity'!C113</f>
        <v>Stable retail deposits/UPSIA by natural persons and small businesses</v>
      </c>
      <c r="B89" s="354" t="s">
        <v>157</v>
      </c>
      <c r="C89" s="355">
        <v>0.3</v>
      </c>
      <c r="D89" s="356">
        <f t="shared" si="3"/>
        <v>0.7</v>
      </c>
      <c r="E89" s="354">
        <v>0</v>
      </c>
      <c r="F89" s="357"/>
      <c r="G89" s="358">
        <f t="shared" si="4"/>
        <v>1</v>
      </c>
      <c r="H89" s="358">
        <f t="shared" si="5"/>
        <v>0.7</v>
      </c>
      <c r="J89" s="11"/>
      <c r="K89" s="11"/>
      <c r="L89" s="11"/>
      <c r="M89" s="11"/>
      <c r="N89" s="11"/>
      <c r="O89" s="11"/>
      <c r="P89" s="11"/>
      <c r="V89" s="11"/>
      <c r="W89" s="11"/>
    </row>
    <row r="90" spans="1:23" ht="15" customHeight="1" x14ac:dyDescent="0.2">
      <c r="A90" s="374" t="str">
        <f>+'2-Input - IIFS Liqudity'!C114</f>
        <v>Less stable retail deposits/UPSIA by natural persons and small businesses</v>
      </c>
      <c r="B90" s="354" t="s">
        <v>157</v>
      </c>
      <c r="C90" s="355">
        <v>0.4</v>
      </c>
      <c r="D90" s="356">
        <f t="shared" si="3"/>
        <v>0.6</v>
      </c>
      <c r="E90" s="354">
        <v>0</v>
      </c>
      <c r="F90" s="357"/>
      <c r="G90" s="358">
        <f t="shared" si="4"/>
        <v>1</v>
      </c>
      <c r="H90" s="358">
        <f t="shared" si="5"/>
        <v>0.6</v>
      </c>
      <c r="J90" s="11"/>
      <c r="K90" s="11"/>
      <c r="L90" s="11"/>
      <c r="M90" s="11"/>
      <c r="N90" s="11"/>
      <c r="O90" s="11"/>
      <c r="P90" s="11"/>
      <c r="V90" s="11"/>
      <c r="W90" s="11"/>
    </row>
    <row r="91" spans="1:23" ht="15" customHeight="1" x14ac:dyDescent="0.2">
      <c r="A91" s="374" t="str">
        <f>+'2-Input - IIFS Liqudity'!C115</f>
        <v>Operational Accounts</v>
      </c>
      <c r="B91" s="354" t="s">
        <v>157</v>
      </c>
      <c r="C91" s="355">
        <v>0</v>
      </c>
      <c r="D91" s="356">
        <f t="shared" si="3"/>
        <v>1</v>
      </c>
      <c r="E91" s="354">
        <v>0</v>
      </c>
      <c r="F91" s="357"/>
      <c r="G91" s="358">
        <f t="shared" si="4"/>
        <v>1</v>
      </c>
      <c r="H91" s="358">
        <f t="shared" si="5"/>
        <v>1</v>
      </c>
      <c r="J91" s="11"/>
      <c r="K91" s="11"/>
      <c r="L91" s="11"/>
      <c r="M91" s="11"/>
      <c r="N91" s="11"/>
      <c r="O91" s="11"/>
      <c r="P91" s="11"/>
      <c r="V91" s="11"/>
      <c r="W91" s="11"/>
    </row>
    <row r="92" spans="1:23" ht="15" customHeight="1" x14ac:dyDescent="0.2">
      <c r="A92" s="374" t="str">
        <f>+'2-Input - IIFS Liqudity'!C116</f>
        <v>Operational Accounts (covered by deposit insurance scheme)</v>
      </c>
      <c r="B92" s="354" t="s">
        <v>157</v>
      </c>
      <c r="C92" s="355">
        <v>0.5</v>
      </c>
      <c r="D92" s="356">
        <f t="shared" si="3"/>
        <v>0.5</v>
      </c>
      <c r="E92" s="354">
        <v>0</v>
      </c>
      <c r="F92" s="357"/>
      <c r="G92" s="358">
        <f t="shared" si="4"/>
        <v>1</v>
      </c>
      <c r="H92" s="358">
        <f t="shared" si="5"/>
        <v>0.5</v>
      </c>
      <c r="J92" s="11"/>
      <c r="K92" s="11"/>
      <c r="L92" s="11"/>
      <c r="M92" s="11"/>
      <c r="N92" s="11"/>
      <c r="O92" s="11"/>
      <c r="P92" s="11"/>
      <c r="V92" s="11"/>
      <c r="W92" s="11"/>
    </row>
    <row r="93" spans="1:23" ht="15" customHeight="1" x14ac:dyDescent="0.2">
      <c r="A93" s="374" t="str">
        <f>+'2-Input - IIFS Liqudity'!C117</f>
        <v>Cooperative IIFS in an institutional network</v>
      </c>
      <c r="B93" s="354" t="s">
        <v>157</v>
      </c>
      <c r="C93" s="355">
        <v>0.5</v>
      </c>
      <c r="D93" s="356">
        <f t="shared" si="3"/>
        <v>0.5</v>
      </c>
      <c r="E93" s="354">
        <v>0</v>
      </c>
      <c r="F93" s="357"/>
      <c r="G93" s="358">
        <f t="shared" si="4"/>
        <v>1</v>
      </c>
      <c r="H93" s="358">
        <f t="shared" si="5"/>
        <v>0.5</v>
      </c>
      <c r="J93" s="11"/>
      <c r="K93" s="11"/>
      <c r="L93" s="11"/>
      <c r="M93" s="11"/>
      <c r="N93" s="11"/>
      <c r="O93" s="11"/>
      <c r="P93" s="11"/>
      <c r="V93" s="11"/>
      <c r="W93" s="11"/>
    </row>
    <row r="94" spans="1:23" ht="15" customHeight="1" x14ac:dyDescent="0.2">
      <c r="A94" s="374" t="str">
        <f>+'2-Input - IIFS Liqudity'!C118</f>
        <v>Non-financial corp, sovereigns, central banks, MDBs and PSEs</v>
      </c>
      <c r="B94" s="354" t="s">
        <v>156</v>
      </c>
      <c r="C94" s="355"/>
      <c r="D94" s="356">
        <f t="shared" si="3"/>
        <v>0</v>
      </c>
      <c r="E94" s="354">
        <v>0</v>
      </c>
      <c r="F94" s="357"/>
      <c r="G94" s="358">
        <f t="shared" si="4"/>
        <v>1</v>
      </c>
      <c r="H94" s="358">
        <f t="shared" si="5"/>
        <v>0</v>
      </c>
      <c r="J94" s="11"/>
      <c r="K94" s="11"/>
      <c r="L94" s="11"/>
      <c r="M94" s="11"/>
      <c r="N94" s="11"/>
      <c r="O94" s="11"/>
      <c r="P94" s="11"/>
      <c r="V94" s="11"/>
      <c r="W94" s="11"/>
    </row>
    <row r="95" spans="1:23" x14ac:dyDescent="0.2">
      <c r="A95" s="374" t="str">
        <f>+'2-Input - IIFS Liqudity'!C119</f>
        <v>Non-financial corp, sovereigns, central banks, MDBs and PSEs (covered by deposit insurance scheme)</v>
      </c>
      <c r="B95" s="354" t="s">
        <v>156</v>
      </c>
      <c r="C95" s="355"/>
      <c r="D95" s="356">
        <f t="shared" si="3"/>
        <v>0</v>
      </c>
      <c r="E95" s="354">
        <v>0</v>
      </c>
      <c r="F95" s="357"/>
      <c r="G95" s="358">
        <f t="shared" si="4"/>
        <v>1</v>
      </c>
      <c r="H95" s="358">
        <f t="shared" si="5"/>
        <v>0</v>
      </c>
      <c r="J95" s="11"/>
      <c r="K95" s="11"/>
      <c r="L95" s="11"/>
      <c r="M95" s="11"/>
      <c r="N95" s="11"/>
      <c r="O95" s="11"/>
      <c r="P95" s="11"/>
      <c r="V95" s="11"/>
      <c r="W95" s="11"/>
    </row>
    <row r="96" spans="1:23" x14ac:dyDescent="0.2">
      <c r="A96" s="374" t="str">
        <f>+'2-Input - IIFS Liqudity'!C120</f>
        <v>Secured funding backed by Level 1 assets</v>
      </c>
      <c r="B96" s="354" t="s">
        <v>156</v>
      </c>
      <c r="C96" s="355"/>
      <c r="D96" s="356">
        <f t="shared" si="3"/>
        <v>0</v>
      </c>
      <c r="E96" s="354">
        <v>0</v>
      </c>
      <c r="F96" s="357"/>
      <c r="G96" s="358">
        <f t="shared" si="4"/>
        <v>1</v>
      </c>
      <c r="H96" s="358">
        <f t="shared" si="5"/>
        <v>0</v>
      </c>
      <c r="J96" s="11"/>
      <c r="K96" s="11"/>
      <c r="L96" s="11"/>
      <c r="M96" s="11"/>
      <c r="N96" s="11"/>
      <c r="O96" s="11"/>
      <c r="P96" s="11"/>
      <c r="V96" s="11"/>
      <c r="W96" s="11"/>
    </row>
    <row r="97" spans="1:23" x14ac:dyDescent="0.2">
      <c r="A97" s="374" t="str">
        <f>+'2-Input - IIFS Liqudity'!C121</f>
        <v>Secured funding backed by Level 2 assets</v>
      </c>
      <c r="B97" s="359" t="s">
        <v>156</v>
      </c>
      <c r="C97" s="360"/>
      <c r="D97" s="361">
        <f t="shared" si="3"/>
        <v>0</v>
      </c>
      <c r="E97" s="359">
        <v>0</v>
      </c>
      <c r="F97" s="362"/>
      <c r="G97" s="363">
        <f t="shared" si="4"/>
        <v>1</v>
      </c>
      <c r="H97" s="363">
        <f t="shared" si="5"/>
        <v>0</v>
      </c>
    </row>
    <row r="99" spans="1:23" s="633" customFormat="1" ht="15.75" x14ac:dyDescent="0.25">
      <c r="A99" s="632"/>
      <c r="B99" s="632"/>
      <c r="C99" s="632"/>
      <c r="D99" s="632"/>
      <c r="E99" s="632"/>
      <c r="F99" s="632"/>
      <c r="G99" s="632"/>
      <c r="H99" s="632"/>
      <c r="I99" s="632"/>
      <c r="J99" s="632"/>
      <c r="K99" s="632"/>
      <c r="L99" s="632"/>
      <c r="M99" s="632"/>
      <c r="N99" s="632"/>
      <c r="O99" s="632"/>
      <c r="P99" s="632"/>
      <c r="Q99" s="632"/>
      <c r="R99" s="632"/>
      <c r="S99" s="632"/>
      <c r="T99" s="632"/>
      <c r="U99" s="632"/>
      <c r="V99" s="632"/>
      <c r="W99" s="632"/>
    </row>
    <row r="100" spans="1:23" s="633" customFormat="1" ht="15.75" x14ac:dyDescent="0.25">
      <c r="A100" s="914" t="s">
        <v>162</v>
      </c>
      <c r="B100" s="915"/>
      <c r="C100" s="915"/>
      <c r="D100" s="915"/>
      <c r="E100" s="915"/>
      <c r="F100" s="915"/>
      <c r="G100" s="915"/>
      <c r="H100" s="915"/>
      <c r="I100" s="915"/>
      <c r="J100" s="632"/>
      <c r="K100" s="632"/>
      <c r="L100" s="632"/>
      <c r="M100" s="632"/>
      <c r="N100" s="632"/>
      <c r="O100" s="632"/>
      <c r="P100" s="632"/>
      <c r="Q100" s="632"/>
      <c r="R100" s="632"/>
      <c r="S100" s="632"/>
      <c r="T100" s="632"/>
      <c r="U100" s="632"/>
      <c r="V100" s="632"/>
      <c r="W100" s="632"/>
    </row>
    <row r="101" spans="1:23" ht="38.25" customHeight="1" x14ac:dyDescent="0.2">
      <c r="A101" s="901" t="s">
        <v>439</v>
      </c>
      <c r="B101" s="902"/>
      <c r="C101" s="902"/>
      <c r="D101" s="902"/>
      <c r="E101" s="902"/>
      <c r="F101" s="902"/>
      <c r="G101" s="902"/>
      <c r="H101" s="902"/>
      <c r="I101" s="903"/>
    </row>
    <row r="102" spans="1:23" x14ac:dyDescent="0.2">
      <c r="A102" s="402"/>
    </row>
    <row r="103" spans="1:23" x14ac:dyDescent="0.2">
      <c r="A103" s="899" t="s">
        <v>163</v>
      </c>
      <c r="B103" s="900"/>
      <c r="G103" s="904" t="s">
        <v>164</v>
      </c>
      <c r="H103" s="905"/>
      <c r="I103" s="906"/>
    </row>
    <row r="104" spans="1:23" ht="15.75" customHeight="1" thickBot="1" x14ac:dyDescent="0.25">
      <c r="A104" s="403" t="s">
        <v>0</v>
      </c>
      <c r="B104" s="403"/>
      <c r="F104" s="907" t="s">
        <v>275</v>
      </c>
      <c r="G104" s="907"/>
      <c r="H104" s="907"/>
      <c r="I104" s="907"/>
    </row>
    <row r="105" spans="1:23" ht="15" customHeight="1" x14ac:dyDescent="0.2">
      <c r="A105" s="108" t="s">
        <v>170</v>
      </c>
      <c r="B105" s="404">
        <v>1</v>
      </c>
      <c r="F105" s="923" t="s">
        <v>276</v>
      </c>
      <c r="G105" s="924"/>
      <c r="H105" s="924"/>
      <c r="I105" s="925"/>
    </row>
    <row r="106" spans="1:23" ht="30" customHeight="1" x14ac:dyDescent="0.2">
      <c r="A106" s="108" t="s">
        <v>171</v>
      </c>
      <c r="B106" s="404">
        <v>1</v>
      </c>
      <c r="F106" s="908" t="s">
        <v>277</v>
      </c>
      <c r="G106" s="908"/>
      <c r="H106" s="908"/>
      <c r="I106" s="405">
        <v>0.03</v>
      </c>
    </row>
    <row r="107" spans="1:23" ht="51" x14ac:dyDescent="0.2">
      <c r="A107" s="108" t="s">
        <v>336</v>
      </c>
      <c r="B107" s="404">
        <v>1</v>
      </c>
      <c r="F107" s="909" t="s">
        <v>278</v>
      </c>
      <c r="G107" s="909"/>
      <c r="H107" s="909"/>
      <c r="I107" s="405">
        <v>0.05</v>
      </c>
    </row>
    <row r="108" spans="1:23" ht="38.25" x14ac:dyDescent="0.2">
      <c r="A108" s="108" t="s">
        <v>337</v>
      </c>
      <c r="B108" s="404">
        <v>1</v>
      </c>
      <c r="F108" s="909" t="s">
        <v>279</v>
      </c>
      <c r="G108" s="909"/>
      <c r="H108" s="909"/>
      <c r="I108" s="405">
        <v>0.1</v>
      </c>
    </row>
    <row r="109" spans="1:23" ht="38.25" x14ac:dyDescent="0.2">
      <c r="A109" s="108" t="s">
        <v>338</v>
      </c>
      <c r="B109" s="404">
        <v>1</v>
      </c>
      <c r="F109" s="908" t="s">
        <v>303</v>
      </c>
      <c r="G109" s="908"/>
      <c r="H109" s="908"/>
      <c r="I109" s="405">
        <v>0</v>
      </c>
    </row>
    <row r="110" spans="1:23" ht="15.75" customHeight="1" thickBot="1" x14ac:dyDescent="0.25">
      <c r="A110" s="403" t="s">
        <v>1</v>
      </c>
      <c r="B110" s="403"/>
      <c r="F110" s="907" t="s">
        <v>280</v>
      </c>
      <c r="G110" s="907"/>
      <c r="H110" s="907"/>
      <c r="I110" s="907"/>
    </row>
    <row r="111" spans="1:23" ht="37.5" customHeight="1" thickBot="1" x14ac:dyDescent="0.25">
      <c r="A111" s="406" t="s">
        <v>2</v>
      </c>
      <c r="B111" s="406"/>
      <c r="F111" s="908" t="s">
        <v>281</v>
      </c>
      <c r="G111" s="908"/>
      <c r="H111" s="908"/>
      <c r="I111" s="908"/>
    </row>
    <row r="112" spans="1:23" ht="51" x14ac:dyDescent="0.2">
      <c r="A112" s="139" t="s">
        <v>339</v>
      </c>
      <c r="B112" s="404">
        <v>0.85</v>
      </c>
      <c r="F112" s="908" t="s">
        <v>278</v>
      </c>
      <c r="G112" s="908"/>
      <c r="H112" s="908"/>
      <c r="I112" s="405">
        <v>0.05</v>
      </c>
    </row>
    <row r="113" spans="1:9" ht="25.5" x14ac:dyDescent="0.2">
      <c r="A113" s="108" t="s">
        <v>340</v>
      </c>
      <c r="B113" s="404">
        <v>0.85</v>
      </c>
      <c r="F113" s="908" t="s">
        <v>282</v>
      </c>
      <c r="G113" s="908"/>
      <c r="H113" s="908"/>
      <c r="I113" s="405">
        <v>0.1</v>
      </c>
    </row>
    <row r="114" spans="1:9" ht="31.5" customHeight="1" thickBot="1" x14ac:dyDescent="0.25">
      <c r="A114" s="406" t="s">
        <v>3</v>
      </c>
      <c r="B114" s="403"/>
      <c r="F114" s="908" t="s">
        <v>283</v>
      </c>
      <c r="G114" s="908"/>
      <c r="H114" s="908"/>
      <c r="I114" s="405">
        <v>0.25</v>
      </c>
    </row>
    <row r="115" spans="1:9" ht="22.5" customHeight="1" x14ac:dyDescent="0.2">
      <c r="A115" s="139" t="s">
        <v>341</v>
      </c>
      <c r="B115" s="404">
        <v>0.75</v>
      </c>
      <c r="F115" s="908" t="s">
        <v>284</v>
      </c>
      <c r="G115" s="908"/>
      <c r="H115" s="908"/>
      <c r="I115" s="405">
        <v>0.05</v>
      </c>
    </row>
    <row r="116" spans="1:9" ht="34.5" customHeight="1" x14ac:dyDescent="0.2">
      <c r="A116" s="139" t="s">
        <v>342</v>
      </c>
      <c r="B116" s="404">
        <v>0.5</v>
      </c>
      <c r="F116" s="908" t="s">
        <v>285</v>
      </c>
      <c r="G116" s="908"/>
      <c r="H116" s="908"/>
      <c r="I116" s="405">
        <v>0.25</v>
      </c>
    </row>
    <row r="117" spans="1:9" ht="25.5" x14ac:dyDescent="0.2">
      <c r="A117" s="139" t="s">
        <v>343</v>
      </c>
      <c r="B117" s="404">
        <v>0.5</v>
      </c>
      <c r="F117" s="908" t="s">
        <v>286</v>
      </c>
      <c r="G117" s="908"/>
      <c r="H117" s="908"/>
      <c r="I117" s="405">
        <v>0.4</v>
      </c>
    </row>
    <row r="118" spans="1:9" ht="15" customHeight="1" x14ac:dyDescent="0.2">
      <c r="F118" s="908" t="s">
        <v>287</v>
      </c>
      <c r="G118" s="908"/>
      <c r="H118" s="908"/>
      <c r="I118" s="405">
        <v>0.2</v>
      </c>
    </row>
    <row r="119" spans="1:9" ht="15" customHeight="1" x14ac:dyDescent="0.2">
      <c r="F119" s="908" t="s">
        <v>288</v>
      </c>
      <c r="G119" s="908"/>
      <c r="H119" s="908"/>
      <c r="I119" s="405">
        <v>1</v>
      </c>
    </row>
    <row r="120" spans="1:9" ht="15" customHeight="1" x14ac:dyDescent="0.2">
      <c r="F120" s="907" t="s">
        <v>289</v>
      </c>
      <c r="G120" s="907"/>
      <c r="H120" s="907"/>
      <c r="I120" s="907"/>
    </row>
    <row r="121" spans="1:9" ht="28.5" customHeight="1" x14ac:dyDescent="0.2">
      <c r="F121" s="908" t="s">
        <v>290</v>
      </c>
      <c r="G121" s="908"/>
      <c r="H121" s="908"/>
      <c r="I121" s="405">
        <v>0</v>
      </c>
    </row>
    <row r="122" spans="1:9" ht="26.25" customHeight="1" x14ac:dyDescent="0.2">
      <c r="F122" s="908" t="s">
        <v>291</v>
      </c>
      <c r="G122" s="908"/>
      <c r="H122" s="908"/>
      <c r="I122" s="405">
        <v>0.15</v>
      </c>
    </row>
    <row r="123" spans="1:9" ht="51" customHeight="1" x14ac:dyDescent="0.2">
      <c r="F123" s="908" t="s">
        <v>292</v>
      </c>
      <c r="G123" s="908"/>
      <c r="H123" s="908"/>
      <c r="I123" s="405">
        <v>0.25</v>
      </c>
    </row>
    <row r="124" spans="1:9" ht="30.75" customHeight="1" x14ac:dyDescent="0.2">
      <c r="F124" s="908" t="s">
        <v>293</v>
      </c>
      <c r="G124" s="908"/>
      <c r="H124" s="908"/>
      <c r="I124" s="405">
        <v>0.25</v>
      </c>
    </row>
    <row r="125" spans="1:9" ht="28.5" customHeight="1" x14ac:dyDescent="0.2">
      <c r="F125" s="908" t="s">
        <v>4</v>
      </c>
      <c r="G125" s="908"/>
      <c r="H125" s="908"/>
      <c r="I125" s="405">
        <v>0.5</v>
      </c>
    </row>
    <row r="126" spans="1:9" ht="15" customHeight="1" x14ac:dyDescent="0.2">
      <c r="F126" s="908" t="s">
        <v>294</v>
      </c>
      <c r="G126" s="908"/>
      <c r="H126" s="908"/>
      <c r="I126" s="405">
        <v>1</v>
      </c>
    </row>
    <row r="127" spans="1:9" ht="15" customHeight="1" x14ac:dyDescent="0.2">
      <c r="F127" s="907" t="s">
        <v>295</v>
      </c>
      <c r="G127" s="907"/>
      <c r="H127" s="907"/>
      <c r="I127" s="907"/>
    </row>
    <row r="128" spans="1:9" x14ac:dyDescent="0.2">
      <c r="F128" s="908" t="s">
        <v>296</v>
      </c>
      <c r="G128" s="908"/>
      <c r="H128" s="908"/>
      <c r="I128" s="405">
        <v>1</v>
      </c>
    </row>
    <row r="129" spans="1:9" ht="27.75" customHeight="1" x14ac:dyDescent="0.2">
      <c r="F129" s="908" t="s">
        <v>297</v>
      </c>
      <c r="G129" s="908"/>
      <c r="H129" s="908"/>
      <c r="I129" s="405">
        <v>0.5</v>
      </c>
    </row>
    <row r="130" spans="1:9" ht="42" customHeight="1" x14ac:dyDescent="0.2">
      <c r="F130" s="908" t="s">
        <v>298</v>
      </c>
      <c r="G130" s="908"/>
      <c r="H130" s="908"/>
      <c r="I130" s="405">
        <v>0.1</v>
      </c>
    </row>
    <row r="131" spans="1:9" x14ac:dyDescent="0.2">
      <c r="F131" s="908" t="s">
        <v>299</v>
      </c>
      <c r="G131" s="908"/>
      <c r="H131" s="908"/>
      <c r="I131" s="405">
        <v>1</v>
      </c>
    </row>
    <row r="132" spans="1:9" ht="15" customHeight="1" x14ac:dyDescent="0.2">
      <c r="F132" s="908" t="s">
        <v>300</v>
      </c>
      <c r="G132" s="908"/>
      <c r="H132" s="908"/>
      <c r="I132" s="405">
        <v>0</v>
      </c>
    </row>
    <row r="133" spans="1:9" ht="15" customHeight="1" x14ac:dyDescent="0.2">
      <c r="F133" s="908" t="s">
        <v>301</v>
      </c>
      <c r="G133" s="908"/>
      <c r="H133" s="908"/>
      <c r="I133" s="405">
        <v>1</v>
      </c>
    </row>
    <row r="134" spans="1:9" ht="15" customHeight="1" x14ac:dyDescent="0.2">
      <c r="F134" s="908" t="s">
        <v>302</v>
      </c>
      <c r="G134" s="908"/>
      <c r="H134" s="908"/>
      <c r="I134" s="405">
        <v>1</v>
      </c>
    </row>
    <row r="135" spans="1:9" ht="15" customHeight="1" x14ac:dyDescent="0.2">
      <c r="F135" s="908" t="s">
        <v>32</v>
      </c>
      <c r="G135" s="908"/>
      <c r="H135" s="908"/>
      <c r="I135" s="405">
        <v>0</v>
      </c>
    </row>
    <row r="136" spans="1:9" ht="15" customHeight="1" x14ac:dyDescent="0.2">
      <c r="F136" s="908" t="s">
        <v>33</v>
      </c>
      <c r="G136" s="908"/>
      <c r="H136" s="908"/>
      <c r="I136" s="405">
        <v>0.15</v>
      </c>
    </row>
    <row r="137" spans="1:9" ht="24.75" customHeight="1" x14ac:dyDescent="0.2">
      <c r="F137" s="908" t="s">
        <v>34</v>
      </c>
      <c r="G137" s="908"/>
      <c r="H137" s="908"/>
      <c r="I137" s="405">
        <v>0.25</v>
      </c>
    </row>
    <row r="138" spans="1:9" ht="15" customHeight="1" x14ac:dyDescent="0.2">
      <c r="F138" s="908" t="s">
        <v>35</v>
      </c>
      <c r="G138" s="908"/>
      <c r="H138" s="908"/>
      <c r="I138" s="405"/>
    </row>
    <row r="139" spans="1:9" x14ac:dyDescent="0.2">
      <c r="F139" s="908" t="s">
        <v>36</v>
      </c>
      <c r="G139" s="908"/>
      <c r="H139" s="908"/>
      <c r="I139" s="405"/>
    </row>
    <row r="140" spans="1:9" ht="15" customHeight="1" x14ac:dyDescent="0.2">
      <c r="F140" s="908" t="s">
        <v>37</v>
      </c>
      <c r="G140" s="908"/>
      <c r="H140" s="908"/>
      <c r="I140" s="405"/>
    </row>
    <row r="141" spans="1:9" ht="15" customHeight="1" x14ac:dyDescent="0.2">
      <c r="F141" s="908" t="s">
        <v>360</v>
      </c>
      <c r="G141" s="908"/>
      <c r="H141" s="908"/>
      <c r="I141" s="405">
        <v>0.8</v>
      </c>
    </row>
    <row r="144" spans="1:9" ht="15.75" x14ac:dyDescent="0.25">
      <c r="A144" s="919" t="s">
        <v>165</v>
      </c>
      <c r="B144" s="920"/>
      <c r="C144" s="920"/>
      <c r="D144" s="920"/>
      <c r="E144" s="920"/>
      <c r="F144" s="920"/>
      <c r="G144" s="920"/>
      <c r="H144" s="920"/>
      <c r="I144" s="920"/>
    </row>
    <row r="146" spans="1:23" x14ac:dyDescent="0.2">
      <c r="A146" s="899" t="s">
        <v>136</v>
      </c>
      <c r="B146" s="900"/>
      <c r="G146" s="182" t="s">
        <v>138</v>
      </c>
      <c r="H146" s="630"/>
      <c r="I146" s="407"/>
    </row>
    <row r="147" spans="1:23" ht="127.5" x14ac:dyDescent="0.2">
      <c r="A147" s="108" t="s">
        <v>274</v>
      </c>
      <c r="B147" s="408">
        <v>1</v>
      </c>
      <c r="G147" s="108" t="s">
        <v>186</v>
      </c>
      <c r="H147" s="631"/>
      <c r="I147" s="408">
        <v>0</v>
      </c>
    </row>
    <row r="148" spans="1:23" ht="51" x14ac:dyDescent="0.2">
      <c r="A148" s="108" t="s">
        <v>5</v>
      </c>
      <c r="B148" s="408">
        <v>0.95</v>
      </c>
      <c r="G148" s="108" t="s">
        <v>187</v>
      </c>
      <c r="H148" s="631"/>
      <c r="I148" s="408">
        <v>0.05</v>
      </c>
    </row>
    <row r="149" spans="1:23" ht="89.25" x14ac:dyDescent="0.2">
      <c r="A149" s="108" t="s">
        <v>6</v>
      </c>
      <c r="B149" s="408">
        <v>0.9</v>
      </c>
      <c r="G149" s="108" t="s">
        <v>7</v>
      </c>
      <c r="H149" s="631"/>
      <c r="I149" s="408">
        <v>0.1</v>
      </c>
    </row>
    <row r="150" spans="1:23" ht="102" x14ac:dyDescent="0.2">
      <c r="A150" s="108" t="s">
        <v>272</v>
      </c>
      <c r="B150" s="408">
        <v>0.5</v>
      </c>
      <c r="G150" s="108" t="s">
        <v>188</v>
      </c>
      <c r="H150" s="631"/>
      <c r="I150" s="408">
        <v>0.15</v>
      </c>
    </row>
    <row r="151" spans="1:23" ht="88.15" customHeight="1" x14ac:dyDescent="0.2">
      <c r="A151" s="108" t="s">
        <v>273</v>
      </c>
      <c r="B151" s="408">
        <v>0</v>
      </c>
      <c r="G151" s="108" t="s">
        <v>271</v>
      </c>
      <c r="H151" s="631"/>
      <c r="I151" s="408">
        <v>0.5</v>
      </c>
    </row>
    <row r="152" spans="1:23" ht="229.5" x14ac:dyDescent="0.2">
      <c r="G152" s="108" t="s">
        <v>189</v>
      </c>
      <c r="H152" s="631"/>
      <c r="I152" s="408">
        <v>0.65</v>
      </c>
    </row>
    <row r="153" spans="1:23" ht="318.75" x14ac:dyDescent="0.2">
      <c r="G153" s="108" t="s">
        <v>344</v>
      </c>
      <c r="H153" s="631"/>
      <c r="I153" s="408">
        <v>0.85</v>
      </c>
    </row>
    <row r="154" spans="1:23" ht="204" x14ac:dyDescent="0.2">
      <c r="G154" s="108" t="s">
        <v>190</v>
      </c>
      <c r="H154" s="631"/>
      <c r="I154" s="408">
        <v>1</v>
      </c>
    </row>
    <row r="157" spans="1:23" ht="15" x14ac:dyDescent="0.25">
      <c r="A157" s="921" t="s">
        <v>404</v>
      </c>
      <c r="B157" s="922"/>
      <c r="C157" s="922"/>
      <c r="D157" s="922"/>
      <c r="E157" s="922"/>
      <c r="F157" s="922"/>
      <c r="G157" s="922"/>
      <c r="H157" s="922"/>
      <c r="I157" s="922"/>
    </row>
    <row r="158" spans="1:23" x14ac:dyDescent="0.2">
      <c r="A158" s="586"/>
      <c r="B158" s="586"/>
      <c r="C158" s="586"/>
      <c r="D158" s="604"/>
      <c r="E158" s="586"/>
      <c r="F158" s="586"/>
      <c r="G158" s="586"/>
      <c r="H158" s="586"/>
      <c r="I158" s="586"/>
      <c r="J158" s="604"/>
      <c r="K158" s="604"/>
    </row>
    <row r="159" spans="1:23" ht="51" x14ac:dyDescent="0.2">
      <c r="A159" s="587" t="s">
        <v>373</v>
      </c>
      <c r="B159" s="588" t="s">
        <v>405</v>
      </c>
      <c r="C159" s="589" t="s">
        <v>406</v>
      </c>
      <c r="D159" s="590" t="s">
        <v>407</v>
      </c>
      <c r="E159" s="605"/>
      <c r="F159" s="587" t="s">
        <v>30</v>
      </c>
      <c r="G159" s="588" t="s">
        <v>408</v>
      </c>
      <c r="H159" s="589" t="s">
        <v>409</v>
      </c>
      <c r="I159" s="590" t="s">
        <v>410</v>
      </c>
      <c r="W159" s="11"/>
    </row>
    <row r="160" spans="1:23" x14ac:dyDescent="0.2">
      <c r="A160" s="591" t="s">
        <v>380</v>
      </c>
      <c r="B160" s="592">
        <v>1</v>
      </c>
      <c r="C160" s="593">
        <v>0</v>
      </c>
      <c r="D160" s="349">
        <f>B160*(1-C160)</f>
        <v>1</v>
      </c>
      <c r="E160" s="605"/>
      <c r="F160" s="591" t="s">
        <v>380</v>
      </c>
      <c r="G160" s="594">
        <v>1</v>
      </c>
      <c r="H160" s="595">
        <v>0</v>
      </c>
      <c r="I160" s="349">
        <f>G160*(1-H160)</f>
        <v>1</v>
      </c>
      <c r="W160" s="11"/>
    </row>
    <row r="161" spans="1:23" x14ac:dyDescent="0.2">
      <c r="A161" s="596" t="s">
        <v>381</v>
      </c>
      <c r="B161" s="597">
        <v>1</v>
      </c>
      <c r="C161" s="593">
        <v>0</v>
      </c>
      <c r="D161" s="358">
        <f t="shared" ref="D161:D169" si="6">B161*(1-C161)</f>
        <v>1</v>
      </c>
      <c r="E161" s="605"/>
      <c r="F161" s="596" t="s">
        <v>381</v>
      </c>
      <c r="G161" s="594">
        <v>1</v>
      </c>
      <c r="H161" s="598">
        <v>0</v>
      </c>
      <c r="I161" s="358">
        <f t="shared" ref="I161:I169" si="7">G161*(1-H161)</f>
        <v>1</v>
      </c>
      <c r="W161" s="11"/>
    </row>
    <row r="162" spans="1:23" x14ac:dyDescent="0.2">
      <c r="A162" s="596" t="s">
        <v>382</v>
      </c>
      <c r="B162" s="597">
        <v>1</v>
      </c>
      <c r="C162" s="593">
        <v>0</v>
      </c>
      <c r="D162" s="358">
        <f t="shared" si="6"/>
        <v>1</v>
      </c>
      <c r="E162" s="605"/>
      <c r="F162" s="596" t="s">
        <v>382</v>
      </c>
      <c r="G162" s="594">
        <v>1</v>
      </c>
      <c r="H162" s="598">
        <v>0</v>
      </c>
      <c r="I162" s="358">
        <f t="shared" si="7"/>
        <v>1</v>
      </c>
      <c r="W162" s="11"/>
    </row>
    <row r="163" spans="1:23" x14ac:dyDescent="0.2">
      <c r="A163" s="596" t="s">
        <v>383</v>
      </c>
      <c r="B163" s="597">
        <v>1</v>
      </c>
      <c r="C163" s="593">
        <v>0</v>
      </c>
      <c r="D163" s="358">
        <f t="shared" si="6"/>
        <v>1</v>
      </c>
      <c r="E163" s="605"/>
      <c r="F163" s="596" t="s">
        <v>383</v>
      </c>
      <c r="G163" s="594">
        <v>1</v>
      </c>
      <c r="H163" s="598">
        <v>0</v>
      </c>
      <c r="I163" s="358">
        <f t="shared" si="7"/>
        <v>1</v>
      </c>
      <c r="W163" s="11"/>
    </row>
    <row r="164" spans="1:23" x14ac:dyDescent="0.2">
      <c r="A164" s="596" t="s">
        <v>441</v>
      </c>
      <c r="B164" s="597">
        <v>0</v>
      </c>
      <c r="C164" s="593">
        <v>0</v>
      </c>
      <c r="D164" s="358">
        <f t="shared" si="6"/>
        <v>0</v>
      </c>
      <c r="E164" s="605"/>
      <c r="F164" s="596" t="s">
        <v>441</v>
      </c>
      <c r="G164" s="594">
        <v>1</v>
      </c>
      <c r="H164" s="598">
        <v>0</v>
      </c>
      <c r="I164" s="358">
        <f t="shared" si="7"/>
        <v>1</v>
      </c>
      <c r="W164" s="11"/>
    </row>
    <row r="165" spans="1:23" x14ac:dyDescent="0.2">
      <c r="A165" s="596" t="s">
        <v>441</v>
      </c>
      <c r="B165" s="597">
        <v>0</v>
      </c>
      <c r="C165" s="593">
        <v>0</v>
      </c>
      <c r="D165" s="358">
        <f t="shared" si="6"/>
        <v>0</v>
      </c>
      <c r="E165" s="605"/>
      <c r="F165" s="596" t="s">
        <v>441</v>
      </c>
      <c r="G165" s="594">
        <v>1</v>
      </c>
      <c r="H165" s="598">
        <v>0</v>
      </c>
      <c r="I165" s="358">
        <f t="shared" si="7"/>
        <v>1</v>
      </c>
      <c r="W165" s="11"/>
    </row>
    <row r="166" spans="1:23" x14ac:dyDescent="0.2">
      <c r="A166" s="596" t="s">
        <v>441</v>
      </c>
      <c r="B166" s="597"/>
      <c r="C166" s="593"/>
      <c r="D166" s="358">
        <f t="shared" si="6"/>
        <v>0</v>
      </c>
      <c r="E166" s="605"/>
      <c r="F166" s="596" t="s">
        <v>441</v>
      </c>
      <c r="G166" s="594"/>
      <c r="H166" s="598">
        <v>0</v>
      </c>
      <c r="I166" s="358">
        <f t="shared" si="7"/>
        <v>0</v>
      </c>
      <c r="W166" s="11"/>
    </row>
    <row r="167" spans="1:23" x14ac:dyDescent="0.2">
      <c r="A167" s="596" t="s">
        <v>441</v>
      </c>
      <c r="B167" s="597"/>
      <c r="C167" s="593"/>
      <c r="D167" s="358">
        <f t="shared" si="6"/>
        <v>0</v>
      </c>
      <c r="E167" s="605"/>
      <c r="F167" s="596" t="s">
        <v>441</v>
      </c>
      <c r="G167" s="594"/>
      <c r="H167" s="598">
        <v>0</v>
      </c>
      <c r="I167" s="358">
        <f t="shared" si="7"/>
        <v>0</v>
      </c>
      <c r="W167" s="11"/>
    </row>
    <row r="168" spans="1:23" x14ac:dyDescent="0.2">
      <c r="A168" s="596" t="s">
        <v>441</v>
      </c>
      <c r="B168" s="597"/>
      <c r="C168" s="593"/>
      <c r="D168" s="358">
        <f t="shared" si="6"/>
        <v>0</v>
      </c>
      <c r="E168" s="605"/>
      <c r="F168" s="596" t="s">
        <v>441</v>
      </c>
      <c r="G168" s="594"/>
      <c r="H168" s="598">
        <v>0</v>
      </c>
      <c r="I168" s="358">
        <f t="shared" si="7"/>
        <v>0</v>
      </c>
      <c r="W168" s="11"/>
    </row>
    <row r="169" spans="1:23" x14ac:dyDescent="0.2">
      <c r="A169" s="599" t="s">
        <v>441</v>
      </c>
      <c r="B169" s="600"/>
      <c r="C169" s="601"/>
      <c r="D169" s="363">
        <f t="shared" si="6"/>
        <v>0</v>
      </c>
      <c r="E169" s="605"/>
      <c r="F169" s="599" t="s">
        <v>441</v>
      </c>
      <c r="G169" s="594"/>
      <c r="H169" s="602">
        <v>0</v>
      </c>
      <c r="I169" s="363">
        <f t="shared" si="7"/>
        <v>0</v>
      </c>
      <c r="W169" s="11"/>
    </row>
    <row r="170" spans="1:23" x14ac:dyDescent="0.2">
      <c r="A170" s="586"/>
      <c r="B170" s="586"/>
      <c r="C170" s="586"/>
      <c r="D170" s="604"/>
      <c r="E170" s="586"/>
      <c r="F170" s="586"/>
      <c r="G170" s="586"/>
      <c r="H170" s="586"/>
      <c r="I170" s="586"/>
      <c r="J170" s="604"/>
      <c r="K170" s="604"/>
    </row>
    <row r="171" spans="1:23" ht="15" x14ac:dyDescent="0.25">
      <c r="A171" s="921" t="s">
        <v>431</v>
      </c>
      <c r="B171" s="922"/>
      <c r="C171" s="922"/>
      <c r="D171" s="922"/>
      <c r="E171" s="922"/>
      <c r="F171" s="922"/>
      <c r="G171" s="922"/>
      <c r="H171" s="922"/>
      <c r="I171" s="922"/>
    </row>
    <row r="172" spans="1:23" x14ac:dyDescent="0.2">
      <c r="A172" s="586"/>
      <c r="B172" s="586"/>
      <c r="C172" s="586"/>
      <c r="D172" s="604"/>
      <c r="E172" s="586"/>
      <c r="F172" s="586"/>
      <c r="G172" s="586"/>
      <c r="H172" s="586"/>
      <c r="I172" s="586"/>
      <c r="J172" s="604"/>
      <c r="K172" s="604"/>
    </row>
    <row r="173" spans="1:23" ht="51" x14ac:dyDescent="0.2">
      <c r="A173" s="603" t="s">
        <v>374</v>
      </c>
      <c r="B173" s="588" t="s">
        <v>405</v>
      </c>
      <c r="C173" s="589" t="s">
        <v>406</v>
      </c>
      <c r="D173" s="590" t="s">
        <v>407</v>
      </c>
      <c r="E173" s="605"/>
      <c r="F173" s="587" t="s">
        <v>432</v>
      </c>
      <c r="G173" s="588" t="s">
        <v>408</v>
      </c>
      <c r="H173" s="589" t="s">
        <v>409</v>
      </c>
      <c r="I173" s="590" t="s">
        <v>410</v>
      </c>
      <c r="W173" s="11"/>
    </row>
    <row r="174" spans="1:23" x14ac:dyDescent="0.2">
      <c r="A174" s="521" t="s">
        <v>380</v>
      </c>
      <c r="B174" s="595">
        <v>0.8</v>
      </c>
      <c r="C174" s="593">
        <v>0</v>
      </c>
      <c r="D174" s="349">
        <f>B174*(1-C174)</f>
        <v>0.8</v>
      </c>
      <c r="E174" s="605"/>
      <c r="F174" s="591" t="s">
        <v>380</v>
      </c>
      <c r="G174" s="594">
        <v>1</v>
      </c>
      <c r="H174" s="595">
        <v>0</v>
      </c>
      <c r="I174" s="349">
        <f>G174*(1-H174)</f>
        <v>1</v>
      </c>
      <c r="W174" s="11"/>
    </row>
    <row r="175" spans="1:23" x14ac:dyDescent="0.2">
      <c r="A175" s="522" t="s">
        <v>381</v>
      </c>
      <c r="B175" s="598">
        <v>0.8</v>
      </c>
      <c r="C175" s="593">
        <v>0</v>
      </c>
      <c r="D175" s="358">
        <f t="shared" ref="D175:D183" si="8">B175*(1-C175)</f>
        <v>0.8</v>
      </c>
      <c r="E175" s="605"/>
      <c r="F175" s="596" t="s">
        <v>381</v>
      </c>
      <c r="G175" s="594">
        <v>1</v>
      </c>
      <c r="H175" s="598">
        <v>0</v>
      </c>
      <c r="I175" s="358">
        <f t="shared" ref="I175:I183" si="9">G175*(1-H175)</f>
        <v>1</v>
      </c>
      <c r="W175" s="11"/>
    </row>
    <row r="176" spans="1:23" x14ac:dyDescent="0.2">
      <c r="A176" s="522" t="s">
        <v>382</v>
      </c>
      <c r="B176" s="598">
        <v>0.8</v>
      </c>
      <c r="C176" s="593">
        <v>0</v>
      </c>
      <c r="D176" s="358">
        <f t="shared" si="8"/>
        <v>0.8</v>
      </c>
      <c r="E176" s="605"/>
      <c r="F176" s="596" t="s">
        <v>382</v>
      </c>
      <c r="G176" s="594">
        <v>1</v>
      </c>
      <c r="H176" s="598">
        <v>0</v>
      </c>
      <c r="I176" s="358">
        <f t="shared" si="9"/>
        <v>1</v>
      </c>
      <c r="W176" s="11"/>
    </row>
    <row r="177" spans="1:23" x14ac:dyDescent="0.2">
      <c r="A177" s="522" t="s">
        <v>383</v>
      </c>
      <c r="B177" s="598">
        <v>0.8</v>
      </c>
      <c r="C177" s="593">
        <v>0</v>
      </c>
      <c r="D177" s="358">
        <f t="shared" si="8"/>
        <v>0.8</v>
      </c>
      <c r="E177" s="605"/>
      <c r="F177" s="596" t="s">
        <v>383</v>
      </c>
      <c r="G177" s="594">
        <v>1</v>
      </c>
      <c r="H177" s="598">
        <v>0</v>
      </c>
      <c r="I177" s="358">
        <f t="shared" si="9"/>
        <v>1</v>
      </c>
      <c r="W177" s="11"/>
    </row>
    <row r="178" spans="1:23" x14ac:dyDescent="0.2">
      <c r="A178" s="522" t="s">
        <v>441</v>
      </c>
      <c r="B178" s="598"/>
      <c r="C178" s="593">
        <v>0</v>
      </c>
      <c r="D178" s="358">
        <f t="shared" si="8"/>
        <v>0</v>
      </c>
      <c r="E178" s="605"/>
      <c r="F178" s="596" t="s">
        <v>441</v>
      </c>
      <c r="G178" s="594"/>
      <c r="H178" s="598">
        <v>0</v>
      </c>
      <c r="I178" s="358">
        <f t="shared" si="9"/>
        <v>0</v>
      </c>
      <c r="W178" s="11"/>
    </row>
    <row r="179" spans="1:23" x14ac:dyDescent="0.2">
      <c r="A179" s="522" t="s">
        <v>441</v>
      </c>
      <c r="B179" s="598"/>
      <c r="C179" s="593">
        <v>0</v>
      </c>
      <c r="D179" s="358">
        <f t="shared" si="8"/>
        <v>0</v>
      </c>
      <c r="E179" s="605"/>
      <c r="F179" s="596" t="s">
        <v>441</v>
      </c>
      <c r="G179" s="594"/>
      <c r="H179" s="598">
        <v>0</v>
      </c>
      <c r="I179" s="358">
        <f t="shared" si="9"/>
        <v>0</v>
      </c>
      <c r="W179" s="11"/>
    </row>
    <row r="180" spans="1:23" x14ac:dyDescent="0.2">
      <c r="A180" s="522" t="s">
        <v>441</v>
      </c>
      <c r="B180" s="598"/>
      <c r="C180" s="593"/>
      <c r="D180" s="358">
        <f t="shared" si="8"/>
        <v>0</v>
      </c>
      <c r="E180" s="605"/>
      <c r="F180" s="596" t="s">
        <v>441</v>
      </c>
      <c r="G180" s="594"/>
      <c r="H180" s="598">
        <v>0</v>
      </c>
      <c r="I180" s="358">
        <f t="shared" si="9"/>
        <v>0</v>
      </c>
      <c r="W180" s="11"/>
    </row>
    <row r="181" spans="1:23" x14ac:dyDescent="0.2">
      <c r="A181" s="522" t="s">
        <v>441</v>
      </c>
      <c r="B181" s="598"/>
      <c r="C181" s="593"/>
      <c r="D181" s="358">
        <f t="shared" si="8"/>
        <v>0</v>
      </c>
      <c r="E181" s="605"/>
      <c r="F181" s="596" t="s">
        <v>441</v>
      </c>
      <c r="G181" s="594"/>
      <c r="H181" s="598">
        <v>0</v>
      </c>
      <c r="I181" s="358">
        <f t="shared" si="9"/>
        <v>0</v>
      </c>
      <c r="W181" s="11"/>
    </row>
    <row r="182" spans="1:23" x14ac:dyDescent="0.2">
      <c r="A182" s="522" t="s">
        <v>441</v>
      </c>
      <c r="B182" s="598"/>
      <c r="C182" s="593"/>
      <c r="D182" s="358">
        <f t="shared" si="8"/>
        <v>0</v>
      </c>
      <c r="E182" s="605"/>
      <c r="F182" s="596" t="s">
        <v>441</v>
      </c>
      <c r="G182" s="594"/>
      <c r="H182" s="598">
        <v>0</v>
      </c>
      <c r="I182" s="358">
        <f t="shared" si="9"/>
        <v>0</v>
      </c>
      <c r="W182" s="11"/>
    </row>
    <row r="183" spans="1:23" x14ac:dyDescent="0.2">
      <c r="A183" s="523" t="s">
        <v>441</v>
      </c>
      <c r="B183" s="602"/>
      <c r="C183" s="601"/>
      <c r="D183" s="363">
        <f t="shared" si="8"/>
        <v>0</v>
      </c>
      <c r="E183" s="605"/>
      <c r="F183" s="599" t="s">
        <v>441</v>
      </c>
      <c r="G183" s="594"/>
      <c r="H183" s="602">
        <v>0</v>
      </c>
      <c r="I183" s="363">
        <f t="shared" si="9"/>
        <v>0</v>
      </c>
      <c r="W183" s="11"/>
    </row>
    <row r="184" spans="1:23" x14ac:dyDescent="0.2">
      <c r="A184" s="605"/>
      <c r="B184" s="605"/>
      <c r="C184" s="605"/>
      <c r="D184" s="605"/>
      <c r="E184" s="605"/>
      <c r="F184" s="605"/>
      <c r="G184" s="605"/>
      <c r="H184" s="605"/>
      <c r="I184" s="605"/>
      <c r="J184" s="605"/>
      <c r="K184" s="605"/>
    </row>
    <row r="185" spans="1:23" ht="51" x14ac:dyDescent="0.2">
      <c r="A185" s="603" t="s">
        <v>375</v>
      </c>
      <c r="B185" s="588" t="s">
        <v>405</v>
      </c>
      <c r="C185" s="590" t="s">
        <v>411</v>
      </c>
      <c r="D185" s="590" t="s">
        <v>407</v>
      </c>
      <c r="E185" s="605"/>
      <c r="F185" s="587" t="s">
        <v>402</v>
      </c>
      <c r="G185" s="588" t="s">
        <v>408</v>
      </c>
      <c r="H185" s="589" t="s">
        <v>409</v>
      </c>
      <c r="I185" s="590" t="s">
        <v>410</v>
      </c>
      <c r="W185" s="11"/>
    </row>
    <row r="186" spans="1:23" x14ac:dyDescent="0.2">
      <c r="A186" s="521" t="s">
        <v>380</v>
      </c>
      <c r="B186" s="595">
        <v>0.8</v>
      </c>
      <c r="C186" s="595">
        <v>0</v>
      </c>
      <c r="D186" s="349">
        <f>B186*(1-C186)</f>
        <v>0.8</v>
      </c>
      <c r="E186" s="605"/>
      <c r="F186" s="591" t="s">
        <v>380</v>
      </c>
      <c r="G186" s="594">
        <v>1</v>
      </c>
      <c r="H186" s="595">
        <v>0</v>
      </c>
      <c r="I186" s="349">
        <f>G186*(1-H186)</f>
        <v>1</v>
      </c>
      <c r="W186" s="11"/>
    </row>
    <row r="187" spans="1:23" x14ac:dyDescent="0.2">
      <c r="A187" s="522" t="s">
        <v>381</v>
      </c>
      <c r="B187" s="598">
        <v>0.8</v>
      </c>
      <c r="C187" s="598">
        <v>0</v>
      </c>
      <c r="D187" s="358">
        <f t="shared" ref="D187:D195" si="10">B187*(1-C187)</f>
        <v>0.8</v>
      </c>
      <c r="E187" s="605"/>
      <c r="F187" s="596" t="s">
        <v>381</v>
      </c>
      <c r="G187" s="594">
        <v>1</v>
      </c>
      <c r="H187" s="598">
        <v>0</v>
      </c>
      <c r="I187" s="358">
        <f t="shared" ref="I187:I195" si="11">G187*(1-H187)</f>
        <v>1</v>
      </c>
      <c r="W187" s="11"/>
    </row>
    <row r="188" spans="1:23" x14ac:dyDescent="0.2">
      <c r="A188" s="522" t="s">
        <v>382</v>
      </c>
      <c r="B188" s="598">
        <v>0.8</v>
      </c>
      <c r="C188" s="598">
        <v>0</v>
      </c>
      <c r="D188" s="358">
        <f t="shared" si="10"/>
        <v>0.8</v>
      </c>
      <c r="E188" s="605"/>
      <c r="F188" s="596" t="s">
        <v>382</v>
      </c>
      <c r="G188" s="594">
        <v>1</v>
      </c>
      <c r="H188" s="598">
        <v>0</v>
      </c>
      <c r="I188" s="358">
        <f t="shared" si="11"/>
        <v>1</v>
      </c>
      <c r="W188" s="11"/>
    </row>
    <row r="189" spans="1:23" x14ac:dyDescent="0.2">
      <c r="A189" s="522" t="s">
        <v>383</v>
      </c>
      <c r="B189" s="598">
        <v>0.8</v>
      </c>
      <c r="C189" s="598">
        <v>0</v>
      </c>
      <c r="D189" s="358">
        <f t="shared" si="10"/>
        <v>0.8</v>
      </c>
      <c r="E189" s="605"/>
      <c r="F189" s="596" t="s">
        <v>383</v>
      </c>
      <c r="G189" s="594">
        <v>1</v>
      </c>
      <c r="H189" s="598">
        <v>0</v>
      </c>
      <c r="I189" s="358">
        <f t="shared" si="11"/>
        <v>1</v>
      </c>
      <c r="W189" s="11"/>
    </row>
    <row r="190" spans="1:23" x14ac:dyDescent="0.2">
      <c r="A190" s="522" t="s">
        <v>441</v>
      </c>
      <c r="B190" s="598"/>
      <c r="C190" s="598">
        <v>0</v>
      </c>
      <c r="D190" s="358">
        <f t="shared" si="10"/>
        <v>0</v>
      </c>
      <c r="E190" s="605"/>
      <c r="F190" s="596" t="s">
        <v>441</v>
      </c>
      <c r="G190" s="594"/>
      <c r="H190" s="598">
        <v>0</v>
      </c>
      <c r="I190" s="358">
        <f t="shared" si="11"/>
        <v>0</v>
      </c>
      <c r="W190" s="11"/>
    </row>
    <row r="191" spans="1:23" x14ac:dyDescent="0.2">
      <c r="A191" s="522" t="s">
        <v>441</v>
      </c>
      <c r="B191" s="598"/>
      <c r="C191" s="598">
        <v>0</v>
      </c>
      <c r="D191" s="358">
        <f t="shared" si="10"/>
        <v>0</v>
      </c>
      <c r="E191" s="605"/>
      <c r="F191" s="596" t="s">
        <v>441</v>
      </c>
      <c r="G191" s="594"/>
      <c r="H191" s="598">
        <v>0</v>
      </c>
      <c r="I191" s="358">
        <f t="shared" si="11"/>
        <v>0</v>
      </c>
      <c r="W191" s="11"/>
    </row>
    <row r="192" spans="1:23" x14ac:dyDescent="0.2">
      <c r="A192" s="522" t="s">
        <v>441</v>
      </c>
      <c r="B192" s="598"/>
      <c r="C192" s="598"/>
      <c r="D192" s="358">
        <f t="shared" si="10"/>
        <v>0</v>
      </c>
      <c r="E192" s="605"/>
      <c r="F192" s="596" t="s">
        <v>441</v>
      </c>
      <c r="G192" s="594"/>
      <c r="H192" s="598">
        <v>0</v>
      </c>
      <c r="I192" s="358">
        <f t="shared" si="11"/>
        <v>0</v>
      </c>
      <c r="W192" s="11"/>
    </row>
    <row r="193" spans="1:23" x14ac:dyDescent="0.2">
      <c r="A193" s="522" t="s">
        <v>441</v>
      </c>
      <c r="B193" s="598"/>
      <c r="C193" s="598"/>
      <c r="D193" s="358">
        <f t="shared" si="10"/>
        <v>0</v>
      </c>
      <c r="E193" s="605"/>
      <c r="F193" s="596" t="s">
        <v>441</v>
      </c>
      <c r="G193" s="594"/>
      <c r="H193" s="598">
        <v>0</v>
      </c>
      <c r="I193" s="358">
        <f t="shared" si="11"/>
        <v>0</v>
      </c>
      <c r="W193" s="11"/>
    </row>
    <row r="194" spans="1:23" x14ac:dyDescent="0.2">
      <c r="A194" s="522" t="s">
        <v>441</v>
      </c>
      <c r="B194" s="598"/>
      <c r="C194" s="598"/>
      <c r="D194" s="358">
        <f t="shared" si="10"/>
        <v>0</v>
      </c>
      <c r="E194" s="605"/>
      <c r="F194" s="596" t="s">
        <v>441</v>
      </c>
      <c r="G194" s="594"/>
      <c r="H194" s="598">
        <v>0</v>
      </c>
      <c r="I194" s="358">
        <f t="shared" si="11"/>
        <v>0</v>
      </c>
      <c r="W194" s="11"/>
    </row>
    <row r="195" spans="1:23" x14ac:dyDescent="0.2">
      <c r="A195" s="523" t="s">
        <v>441</v>
      </c>
      <c r="B195" s="602"/>
      <c r="C195" s="602"/>
      <c r="D195" s="363">
        <f t="shared" si="10"/>
        <v>0</v>
      </c>
      <c r="E195" s="605"/>
      <c r="F195" s="599" t="s">
        <v>441</v>
      </c>
      <c r="G195" s="594"/>
      <c r="H195" s="602">
        <v>0</v>
      </c>
      <c r="I195" s="363">
        <f t="shared" si="11"/>
        <v>0</v>
      </c>
      <c r="W195" s="11"/>
    </row>
    <row r="196" spans="1:23" x14ac:dyDescent="0.2">
      <c r="A196" s="605"/>
      <c r="B196" s="605"/>
      <c r="C196" s="605"/>
      <c r="D196" s="605"/>
      <c r="E196" s="605"/>
      <c r="F196" s="605"/>
      <c r="G196" s="605"/>
      <c r="H196" s="605"/>
      <c r="I196" s="605"/>
      <c r="J196" s="605"/>
      <c r="K196" s="605"/>
    </row>
    <row r="197" spans="1:23" ht="51" x14ac:dyDescent="0.2">
      <c r="A197" s="603" t="s">
        <v>376</v>
      </c>
      <c r="B197" s="588" t="s">
        <v>405</v>
      </c>
      <c r="C197" s="590" t="s">
        <v>411</v>
      </c>
      <c r="D197" s="590" t="s">
        <v>407</v>
      </c>
      <c r="E197" s="605"/>
      <c r="F197" s="587" t="s">
        <v>378</v>
      </c>
      <c r="G197" s="588" t="s">
        <v>408</v>
      </c>
      <c r="H197" s="589" t="s">
        <v>409</v>
      </c>
      <c r="I197" s="590" t="s">
        <v>410</v>
      </c>
      <c r="W197" s="11"/>
    </row>
    <row r="198" spans="1:23" x14ac:dyDescent="0.2">
      <c r="A198" s="521" t="s">
        <v>380</v>
      </c>
      <c r="B198" s="595">
        <v>0.8</v>
      </c>
      <c r="C198" s="595">
        <v>0</v>
      </c>
      <c r="D198" s="349">
        <f>B198*(1-C198)</f>
        <v>0.8</v>
      </c>
      <c r="E198" s="605"/>
      <c r="F198" s="591" t="s">
        <v>380</v>
      </c>
      <c r="G198" s="594">
        <v>1</v>
      </c>
      <c r="H198" s="595">
        <v>0</v>
      </c>
      <c r="I198" s="349">
        <f>G198*(1-H198)</f>
        <v>1</v>
      </c>
      <c r="W198" s="11"/>
    </row>
    <row r="199" spans="1:23" x14ac:dyDescent="0.2">
      <c r="A199" s="522" t="s">
        <v>381</v>
      </c>
      <c r="B199" s="598">
        <v>0.8</v>
      </c>
      <c r="C199" s="598">
        <v>0</v>
      </c>
      <c r="D199" s="358">
        <f t="shared" ref="D199:D207" si="12">B199*(1-C199)</f>
        <v>0.8</v>
      </c>
      <c r="E199" s="605"/>
      <c r="F199" s="596" t="s">
        <v>381</v>
      </c>
      <c r="G199" s="594">
        <v>1</v>
      </c>
      <c r="H199" s="598">
        <v>0</v>
      </c>
      <c r="I199" s="358">
        <f t="shared" ref="I199:I207" si="13">G199*(1-H199)</f>
        <v>1</v>
      </c>
      <c r="W199" s="11"/>
    </row>
    <row r="200" spans="1:23" x14ac:dyDescent="0.2">
      <c r="A200" s="522" t="s">
        <v>382</v>
      </c>
      <c r="B200" s="598">
        <v>0.8</v>
      </c>
      <c r="C200" s="598">
        <v>0</v>
      </c>
      <c r="D200" s="358">
        <f t="shared" si="12"/>
        <v>0.8</v>
      </c>
      <c r="E200" s="605"/>
      <c r="F200" s="596" t="s">
        <v>382</v>
      </c>
      <c r="G200" s="594">
        <v>1</v>
      </c>
      <c r="H200" s="598">
        <v>0</v>
      </c>
      <c r="I200" s="358">
        <f t="shared" si="13"/>
        <v>1</v>
      </c>
      <c r="W200" s="11"/>
    </row>
    <row r="201" spans="1:23" x14ac:dyDescent="0.2">
      <c r="A201" s="522" t="s">
        <v>383</v>
      </c>
      <c r="B201" s="598">
        <v>0.8</v>
      </c>
      <c r="C201" s="598">
        <v>0</v>
      </c>
      <c r="D201" s="358">
        <f t="shared" si="12"/>
        <v>0.8</v>
      </c>
      <c r="E201" s="605"/>
      <c r="F201" s="596" t="s">
        <v>383</v>
      </c>
      <c r="G201" s="594">
        <v>1</v>
      </c>
      <c r="H201" s="598">
        <v>0</v>
      </c>
      <c r="I201" s="358">
        <f t="shared" si="13"/>
        <v>1</v>
      </c>
      <c r="W201" s="11"/>
    </row>
    <row r="202" spans="1:23" x14ac:dyDescent="0.2">
      <c r="A202" s="522" t="s">
        <v>441</v>
      </c>
      <c r="B202" s="598"/>
      <c r="C202" s="598">
        <v>0</v>
      </c>
      <c r="D202" s="358">
        <f t="shared" si="12"/>
        <v>0</v>
      </c>
      <c r="E202" s="605"/>
      <c r="F202" s="596" t="s">
        <v>441</v>
      </c>
      <c r="G202" s="594"/>
      <c r="H202" s="598">
        <v>0</v>
      </c>
      <c r="I202" s="358">
        <f t="shared" si="13"/>
        <v>0</v>
      </c>
      <c r="W202" s="11"/>
    </row>
    <row r="203" spans="1:23" x14ac:dyDescent="0.2">
      <c r="A203" s="522" t="s">
        <v>441</v>
      </c>
      <c r="B203" s="598"/>
      <c r="C203" s="598">
        <v>0</v>
      </c>
      <c r="D203" s="358">
        <f t="shared" si="12"/>
        <v>0</v>
      </c>
      <c r="E203" s="605"/>
      <c r="F203" s="596" t="s">
        <v>441</v>
      </c>
      <c r="G203" s="594"/>
      <c r="H203" s="598">
        <v>0</v>
      </c>
      <c r="I203" s="358">
        <f t="shared" si="13"/>
        <v>0</v>
      </c>
      <c r="W203" s="11"/>
    </row>
    <row r="204" spans="1:23" x14ac:dyDescent="0.2">
      <c r="A204" s="522" t="s">
        <v>441</v>
      </c>
      <c r="B204" s="598"/>
      <c r="C204" s="598"/>
      <c r="D204" s="358">
        <f t="shared" si="12"/>
        <v>0</v>
      </c>
      <c r="E204" s="605"/>
      <c r="F204" s="596" t="s">
        <v>441</v>
      </c>
      <c r="G204" s="594"/>
      <c r="H204" s="598">
        <v>0</v>
      </c>
      <c r="I204" s="358">
        <f t="shared" si="13"/>
        <v>0</v>
      </c>
      <c r="W204" s="11"/>
    </row>
    <row r="205" spans="1:23" x14ac:dyDescent="0.2">
      <c r="A205" s="522" t="s">
        <v>441</v>
      </c>
      <c r="B205" s="598"/>
      <c r="C205" s="598"/>
      <c r="D205" s="358">
        <f t="shared" si="12"/>
        <v>0</v>
      </c>
      <c r="E205" s="605"/>
      <c r="F205" s="596" t="s">
        <v>441</v>
      </c>
      <c r="G205" s="594"/>
      <c r="H205" s="598">
        <v>0</v>
      </c>
      <c r="I205" s="358">
        <f t="shared" si="13"/>
        <v>0</v>
      </c>
      <c r="W205" s="11"/>
    </row>
    <row r="206" spans="1:23" x14ac:dyDescent="0.2">
      <c r="A206" s="522" t="s">
        <v>441</v>
      </c>
      <c r="B206" s="598"/>
      <c r="C206" s="598"/>
      <c r="D206" s="358">
        <f t="shared" si="12"/>
        <v>0</v>
      </c>
      <c r="E206" s="605"/>
      <c r="F206" s="596" t="s">
        <v>441</v>
      </c>
      <c r="G206" s="594"/>
      <c r="H206" s="598">
        <v>0</v>
      </c>
      <c r="I206" s="358">
        <f t="shared" si="13"/>
        <v>0</v>
      </c>
      <c r="W206" s="11"/>
    </row>
    <row r="207" spans="1:23" x14ac:dyDescent="0.2">
      <c r="A207" s="523" t="s">
        <v>441</v>
      </c>
      <c r="B207" s="602"/>
      <c r="C207" s="602"/>
      <c r="D207" s="363">
        <f t="shared" si="12"/>
        <v>0</v>
      </c>
      <c r="E207" s="605"/>
      <c r="F207" s="599" t="s">
        <v>441</v>
      </c>
      <c r="G207" s="594"/>
      <c r="H207" s="602">
        <v>0</v>
      </c>
      <c r="I207" s="363">
        <f t="shared" si="13"/>
        <v>0</v>
      </c>
      <c r="W207" s="11"/>
    </row>
    <row r="208" spans="1:23" x14ac:dyDescent="0.2">
      <c r="A208" s="605"/>
      <c r="B208" s="605"/>
      <c r="C208" s="605"/>
      <c r="D208" s="605"/>
      <c r="E208" s="605"/>
      <c r="F208" s="605"/>
      <c r="G208" s="605"/>
      <c r="H208" s="605"/>
      <c r="I208" s="605"/>
      <c r="J208" s="605"/>
      <c r="K208" s="605"/>
    </row>
    <row r="209" spans="1:23" ht="51" x14ac:dyDescent="0.2">
      <c r="A209" s="603" t="s">
        <v>377</v>
      </c>
      <c r="B209" s="588" t="s">
        <v>405</v>
      </c>
      <c r="C209" s="590" t="s">
        <v>411</v>
      </c>
      <c r="D209" s="590" t="s">
        <v>407</v>
      </c>
      <c r="E209" s="605"/>
      <c r="F209" s="605"/>
      <c r="W209" s="11"/>
    </row>
    <row r="210" spans="1:23" x14ac:dyDescent="0.2">
      <c r="A210" s="521" t="s">
        <v>380</v>
      </c>
      <c r="B210" s="595">
        <v>0.8</v>
      </c>
      <c r="C210" s="595">
        <v>0</v>
      </c>
      <c r="D210" s="349">
        <f>B210*(1-C210)</f>
        <v>0.8</v>
      </c>
      <c r="E210" s="605"/>
      <c r="F210" s="605"/>
      <c r="W210" s="11"/>
    </row>
    <row r="211" spans="1:23" x14ac:dyDescent="0.2">
      <c r="A211" s="522" t="s">
        <v>381</v>
      </c>
      <c r="B211" s="598">
        <v>0.8</v>
      </c>
      <c r="C211" s="598">
        <v>0</v>
      </c>
      <c r="D211" s="358">
        <f t="shared" ref="D211:D219" si="14">B211*(1-C211)</f>
        <v>0.8</v>
      </c>
      <c r="E211" s="605"/>
      <c r="F211" s="605"/>
      <c r="W211" s="11"/>
    </row>
    <row r="212" spans="1:23" x14ac:dyDescent="0.2">
      <c r="A212" s="522" t="s">
        <v>382</v>
      </c>
      <c r="B212" s="598">
        <v>0.8</v>
      </c>
      <c r="C212" s="598">
        <v>0</v>
      </c>
      <c r="D212" s="358">
        <f t="shared" si="14"/>
        <v>0.8</v>
      </c>
      <c r="E212" s="605"/>
      <c r="F212" s="605"/>
      <c r="W212" s="11"/>
    </row>
    <row r="213" spans="1:23" x14ac:dyDescent="0.2">
      <c r="A213" s="522" t="s">
        <v>383</v>
      </c>
      <c r="B213" s="598">
        <v>0.8</v>
      </c>
      <c r="C213" s="598">
        <v>0</v>
      </c>
      <c r="D213" s="358">
        <f t="shared" si="14"/>
        <v>0.8</v>
      </c>
      <c r="E213" s="605"/>
      <c r="F213" s="605"/>
      <c r="W213" s="11"/>
    </row>
    <row r="214" spans="1:23" x14ac:dyDescent="0.2">
      <c r="A214" s="522" t="s">
        <v>441</v>
      </c>
      <c r="B214" s="598"/>
      <c r="C214" s="598">
        <v>0</v>
      </c>
      <c r="D214" s="358">
        <f t="shared" si="14"/>
        <v>0</v>
      </c>
      <c r="E214" s="605"/>
      <c r="F214" s="605"/>
      <c r="W214" s="11"/>
    </row>
    <row r="215" spans="1:23" x14ac:dyDescent="0.2">
      <c r="A215" s="522" t="s">
        <v>441</v>
      </c>
      <c r="B215" s="598"/>
      <c r="C215" s="598">
        <v>0</v>
      </c>
      <c r="D215" s="358">
        <f t="shared" si="14"/>
        <v>0</v>
      </c>
      <c r="E215" s="605"/>
      <c r="F215" s="605"/>
      <c r="W215" s="11"/>
    </row>
    <row r="216" spans="1:23" x14ac:dyDescent="0.2">
      <c r="A216" s="522" t="s">
        <v>441</v>
      </c>
      <c r="B216" s="598"/>
      <c r="C216" s="598"/>
      <c r="D216" s="358">
        <f t="shared" si="14"/>
        <v>0</v>
      </c>
      <c r="E216" s="605"/>
      <c r="F216" s="605"/>
      <c r="W216" s="11"/>
    </row>
    <row r="217" spans="1:23" x14ac:dyDescent="0.2">
      <c r="A217" s="522" t="s">
        <v>441</v>
      </c>
      <c r="B217" s="598"/>
      <c r="C217" s="598"/>
      <c r="D217" s="358">
        <f t="shared" si="14"/>
        <v>0</v>
      </c>
      <c r="E217" s="605"/>
      <c r="F217" s="605"/>
      <c r="W217" s="11"/>
    </row>
    <row r="218" spans="1:23" x14ac:dyDescent="0.2">
      <c r="A218" s="522" t="s">
        <v>441</v>
      </c>
      <c r="B218" s="598"/>
      <c r="C218" s="598"/>
      <c r="D218" s="358">
        <f t="shared" si="14"/>
        <v>0</v>
      </c>
      <c r="E218" s="605"/>
      <c r="F218" s="605"/>
      <c r="W218" s="11"/>
    </row>
    <row r="219" spans="1:23" x14ac:dyDescent="0.2">
      <c r="A219" s="523" t="s">
        <v>441</v>
      </c>
      <c r="B219" s="602"/>
      <c r="C219" s="602"/>
      <c r="D219" s="363">
        <f t="shared" si="14"/>
        <v>0</v>
      </c>
      <c r="E219" s="605"/>
      <c r="F219" s="605"/>
      <c r="W219" s="11"/>
    </row>
    <row r="220" spans="1:23" x14ac:dyDescent="0.2">
      <c r="A220" s="605"/>
      <c r="B220" s="605"/>
      <c r="C220" s="605"/>
      <c r="D220" s="605"/>
      <c r="E220" s="605"/>
      <c r="F220" s="605"/>
      <c r="K220" s="605"/>
    </row>
    <row r="221" spans="1:23" x14ac:dyDescent="0.2">
      <c r="E221" s="605"/>
      <c r="F221" s="605"/>
      <c r="G221" s="605"/>
      <c r="H221" s="605"/>
      <c r="I221" s="605"/>
      <c r="J221" s="605"/>
      <c r="K221" s="605"/>
    </row>
    <row r="222" spans="1:23" x14ac:dyDescent="0.2">
      <c r="E222" s="605"/>
      <c r="F222" s="605"/>
      <c r="G222" s="605"/>
      <c r="H222" s="605"/>
      <c r="I222" s="605"/>
      <c r="J222" s="605"/>
      <c r="K222" s="605"/>
    </row>
    <row r="223" spans="1:23" x14ac:dyDescent="0.2">
      <c r="E223" s="605"/>
      <c r="F223" s="605"/>
      <c r="G223" s="605"/>
      <c r="H223" s="605"/>
      <c r="I223" s="605"/>
      <c r="J223" s="605"/>
      <c r="K223" s="605"/>
    </row>
    <row r="224" spans="1:23" x14ac:dyDescent="0.2">
      <c r="E224" s="605"/>
      <c r="F224" s="605"/>
      <c r="G224" s="605"/>
      <c r="H224" s="605"/>
      <c r="I224" s="605"/>
      <c r="J224" s="605"/>
      <c r="K224" s="605"/>
    </row>
    <row r="225" spans="5:11" x14ac:dyDescent="0.2">
      <c r="E225" s="605"/>
      <c r="F225" s="605"/>
      <c r="G225" s="605"/>
      <c r="H225" s="605"/>
      <c r="I225" s="605"/>
      <c r="J225" s="605"/>
      <c r="K225" s="605"/>
    </row>
    <row r="226" spans="5:11" x14ac:dyDescent="0.2">
      <c r="E226" s="605"/>
      <c r="F226" s="605"/>
      <c r="G226" s="605"/>
      <c r="H226" s="605"/>
      <c r="I226" s="605"/>
      <c r="J226" s="605"/>
      <c r="K226" s="605"/>
    </row>
    <row r="227" spans="5:11" x14ac:dyDescent="0.2">
      <c r="E227" s="605"/>
      <c r="F227" s="605"/>
      <c r="G227" s="605"/>
      <c r="H227" s="605"/>
      <c r="I227" s="605"/>
      <c r="J227" s="605"/>
      <c r="K227" s="605"/>
    </row>
    <row r="228" spans="5:11" x14ac:dyDescent="0.2">
      <c r="E228" s="605"/>
      <c r="F228" s="605"/>
      <c r="G228" s="605"/>
      <c r="H228" s="605"/>
      <c r="I228" s="605"/>
      <c r="J228" s="605"/>
      <c r="K228" s="605"/>
    </row>
    <row r="229" spans="5:11" x14ac:dyDescent="0.2">
      <c r="E229" s="605"/>
      <c r="F229" s="605"/>
      <c r="G229" s="605"/>
      <c r="H229" s="605"/>
      <c r="I229" s="605"/>
      <c r="J229" s="605"/>
      <c r="K229" s="605"/>
    </row>
    <row r="230" spans="5:11" x14ac:dyDescent="0.2">
      <c r="E230" s="605"/>
      <c r="F230" s="605"/>
      <c r="G230" s="605"/>
      <c r="H230" s="605"/>
      <c r="I230" s="605"/>
      <c r="J230" s="605"/>
      <c r="K230" s="605"/>
    </row>
    <row r="231" spans="5:11" x14ac:dyDescent="0.2">
      <c r="E231" s="605"/>
      <c r="F231" s="605"/>
      <c r="G231" s="605"/>
      <c r="H231" s="605"/>
      <c r="I231" s="605"/>
      <c r="J231" s="605"/>
      <c r="K231" s="605"/>
    </row>
    <row r="232" spans="5:11" ht="15" x14ac:dyDescent="0.25">
      <c r="E232"/>
      <c r="F232"/>
      <c r="G232"/>
      <c r="H232"/>
      <c r="I232"/>
      <c r="J232"/>
      <c r="K232"/>
    </row>
  </sheetData>
  <mergeCells count="52">
    <mergeCell ref="A171:I171"/>
    <mergeCell ref="A157:I157"/>
    <mergeCell ref="F105:I105"/>
    <mergeCell ref="F131:H131"/>
    <mergeCell ref="F137:H137"/>
    <mergeCell ref="F138:H138"/>
    <mergeCell ref="F132:H132"/>
    <mergeCell ref="F133:H133"/>
    <mergeCell ref="F134:H134"/>
    <mergeCell ref="F135:H135"/>
    <mergeCell ref="F136:H136"/>
    <mergeCell ref="F113:H113"/>
    <mergeCell ref="F114:H114"/>
    <mergeCell ref="F115:H115"/>
    <mergeCell ref="F117:H117"/>
    <mergeCell ref="F118:H118"/>
    <mergeCell ref="F119:H119"/>
    <mergeCell ref="F127:I127"/>
    <mergeCell ref="F128:H128"/>
    <mergeCell ref="F120:I120"/>
    <mergeCell ref="F122:H122"/>
    <mergeCell ref="A144:I144"/>
    <mergeCell ref="F139:H139"/>
    <mergeCell ref="F140:H140"/>
    <mergeCell ref="F141:H141"/>
    <mergeCell ref="F123:H123"/>
    <mergeCell ref="F124:H124"/>
    <mergeCell ref="F125:H125"/>
    <mergeCell ref="F126:H126"/>
    <mergeCell ref="F129:H129"/>
    <mergeCell ref="F130:H130"/>
    <mergeCell ref="A4:I4"/>
    <mergeCell ref="A62:I62"/>
    <mergeCell ref="A100:I100"/>
    <mergeCell ref="B82:H82"/>
    <mergeCell ref="B64:H64"/>
    <mergeCell ref="A2:I2"/>
    <mergeCell ref="A6:D6"/>
    <mergeCell ref="A146:B146"/>
    <mergeCell ref="A101:I101"/>
    <mergeCell ref="A103:B103"/>
    <mergeCell ref="G103:I103"/>
    <mergeCell ref="F104:I104"/>
    <mergeCell ref="F106:H106"/>
    <mergeCell ref="F107:H107"/>
    <mergeCell ref="F108:H108"/>
    <mergeCell ref="F109:H109"/>
    <mergeCell ref="F110:I110"/>
    <mergeCell ref="F111:I111"/>
    <mergeCell ref="F121:H121"/>
    <mergeCell ref="F112:H112"/>
    <mergeCell ref="F116:H116"/>
  </mergeCells>
  <dataValidations xWindow="1675" yWindow="710" count="10">
    <dataValidation allowBlank="1" showInputMessage="1" showErrorMessage="1" prompt="Please enter percentage of contigent liabilities to be drawn, which reduces the available funding" sqref="B56 B58"/>
    <dataValidation allowBlank="1" showInputMessage="1" showErrorMessage="1" prompt="Predefined by GN-6, please change only if considered appropriate or to run sensitivity analysis_x000a_" sqref="B104:B117 I106:I109 I112:I119 I121:I126 I128:I137 I147:I154 B147:B151"/>
    <dataValidation allowBlank="1" showInputMessage="1" showErrorMessage="1" prompt="Please enter percentage of funds that are withdrawn during 30 days in cumulative terms" sqref="D12:D21 D24:D33 D36:D43 D50:D54 D56 D58"/>
    <dataValidation allowBlank="1" showInputMessage="1" showErrorMessage="1" prompt="Please enter percentage of funds that are withdrawn each day as a percentage of the then remaining amount" sqref="B11:B21 B24:B33 D11 D45 D47 B36:B43 B45 B47 B50:B54"/>
    <dataValidation allowBlank="1" showInputMessage="1" showErrorMessage="1" prompt="Please specify change in percent_x000a_" sqref="B152:B154"/>
    <dataValidation allowBlank="1" showInputMessage="1" showErrorMessage="1" prompt="Please specify portion of liabilities that can be expected to be rolled over (on a continous basis)" sqref="B174:B183 B160:B169 B222:B231 B210:B219 B198:B207 B186:B195"/>
    <dataValidation allowBlank="1" showInputMessage="1" showErrorMessage="1" prompt="Asset value could change, reflecting expected market developments. Please make sure that there is no double-counting with revaluation of encumbered collateral (and the related margin calls to cover for the change in value)" sqref="H174:H183 H160:H169 I210:I219 H198:H207 H186:H195"/>
    <dataValidation allowBlank="1" showInputMessage="1" showErrorMessage="1" prompt="Haircut to account for the fact that funding remains available, but at higher costs, eg higher collateral requirements, whereby there is a reduction in funding;" sqref="C174:C183 C160:C169 C210:C219 C198:C207 C222:C231 J222:J231 C186:C195"/>
    <dataValidation allowBlank="1" showInputMessage="1" showErrorMessage="1" prompt="Please specify portion of liabilities that cannot be rolled over" sqref="H210:H219 I222:I231"/>
    <dataValidation allowBlank="1" showInputMessage="1" showErrorMessage="1" prompt="Please specify portion of assets that cannot be renewed" sqref="G160:G169 G186:G195 G198:G207 G174:G183"/>
  </dataValidations>
  <pageMargins left="0.12222222222222222" right="0.70866141732283472" top="0.74803149606299213" bottom="0.74803149606299213" header="0.31496062992125984" footer="0.31496062992125984"/>
  <pageSetup scale="66" fitToHeight="0" orientation="landscape" r:id="rId1"/>
  <headerFooter>
    <oddHeader xml:space="preserve">&amp;C© Islamic Financial Services Board 2017. 
This document is part of TN-2 (Technical Note on Stress Testing for Institutions offering Financial Services), December 2016. </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pageSetUpPr fitToPage="1"/>
  </sheetPr>
  <dimension ref="A1:K142"/>
  <sheetViews>
    <sheetView view="pageLayout" zoomScale="90" zoomScaleNormal="90" zoomScalePageLayoutView="90" workbookViewId="0"/>
  </sheetViews>
  <sheetFormatPr defaultColWidth="9.140625" defaultRowHeight="12.75" x14ac:dyDescent="0.2"/>
  <cols>
    <col min="1" max="1" width="60.7109375" style="202" customWidth="1"/>
    <col min="2" max="2" width="15.28515625" style="203" customWidth="1"/>
    <col min="3" max="3" width="3.7109375" style="204" customWidth="1"/>
    <col min="4" max="8" width="13.85546875" style="205" customWidth="1"/>
    <col min="9" max="9" width="12.7109375" style="201" customWidth="1"/>
    <col min="10" max="10" width="13" style="201" customWidth="1"/>
    <col min="11" max="11" width="13.28515625" style="201" customWidth="1"/>
    <col min="12" max="12" width="11.5703125" style="14" customWidth="1"/>
    <col min="13" max="16384" width="9.140625" style="14"/>
  </cols>
  <sheetData>
    <row r="1" spans="1:11" ht="15" customHeight="1" thickBot="1" x14ac:dyDescent="0.25"/>
    <row r="2" spans="1:11" ht="15" customHeight="1" thickBot="1" x14ac:dyDescent="0.3">
      <c r="A2" s="926" t="s">
        <v>247</v>
      </c>
      <c r="B2" s="927"/>
      <c r="C2" s="927"/>
      <c r="D2" s="927"/>
      <c r="E2" s="927"/>
      <c r="F2" s="927"/>
      <c r="G2" s="928"/>
      <c r="H2" s="436"/>
      <c r="I2" s="14"/>
      <c r="J2" s="14"/>
      <c r="K2" s="14"/>
    </row>
    <row r="3" spans="1:11" ht="15" customHeight="1" x14ac:dyDescent="0.2"/>
    <row r="4" spans="1:11" ht="15" customHeight="1" x14ac:dyDescent="0.2">
      <c r="A4" s="206" t="s">
        <v>76</v>
      </c>
      <c r="B4" s="207"/>
      <c r="C4" s="205"/>
      <c r="D4" s="208"/>
    </row>
    <row r="5" spans="1:11" ht="31.5" customHeight="1" x14ac:dyDescent="0.2">
      <c r="A5" s="209" t="s">
        <v>77</v>
      </c>
      <c r="B5" s="210" t="s">
        <v>78</v>
      </c>
      <c r="C5" s="211"/>
      <c r="E5" s="208"/>
      <c r="F5" s="212"/>
      <c r="G5" s="201"/>
      <c r="H5" s="201"/>
    </row>
    <row r="6" spans="1:11" ht="15" customHeight="1" x14ac:dyDescent="0.2"/>
    <row r="7" spans="1:11" s="15" customFormat="1" ht="15" customHeight="1" x14ac:dyDescent="0.25">
      <c r="A7" s="447" t="s">
        <v>322</v>
      </c>
      <c r="B7" s="448"/>
      <c r="C7" s="449"/>
      <c r="D7" s="449"/>
      <c r="E7" s="449"/>
      <c r="F7" s="449"/>
      <c r="G7" s="449"/>
      <c r="H7" s="449"/>
      <c r="I7" s="240"/>
      <c r="J7" s="240"/>
      <c r="K7" s="240"/>
    </row>
    <row r="8" spans="1:11" s="16" customFormat="1" ht="15" customHeight="1" x14ac:dyDescent="0.2">
      <c r="A8" s="214"/>
      <c r="B8" s="214" t="s">
        <v>79</v>
      </c>
      <c r="C8" s="215"/>
      <c r="D8" s="216" t="str">
        <f>+'2-Input - IIFS Liqudity'!I4</f>
        <v>IIFS1</v>
      </c>
      <c r="E8" s="216" t="str">
        <f>+'2-Input - IIFS Liqudity'!J4</f>
        <v>IIFS2</v>
      </c>
      <c r="F8" s="216" t="str">
        <f>+'2-Input - IIFS Liqudity'!K4</f>
        <v>IIFS3</v>
      </c>
      <c r="G8" s="216" t="str">
        <f>+'2-Input - IIFS Liqudity'!L4</f>
        <v>IIFS4</v>
      </c>
      <c r="H8" s="216" t="str">
        <f>+'2-Input - IIFS Liqudity'!M4</f>
        <v>IIFS5</v>
      </c>
      <c r="I8" s="213"/>
      <c r="J8" s="213"/>
      <c r="K8" s="213"/>
    </row>
    <row r="9" spans="1:11" s="16" customFormat="1" ht="15" customHeight="1" x14ac:dyDescent="0.2">
      <c r="A9" s="217"/>
      <c r="B9" s="218"/>
      <c r="C9" s="217"/>
      <c r="D9" s="219"/>
      <c r="E9" s="219"/>
      <c r="F9" s="219"/>
      <c r="G9" s="219"/>
      <c r="H9" s="219"/>
      <c r="I9" s="213"/>
      <c r="J9" s="213"/>
      <c r="K9" s="213"/>
    </row>
    <row r="10" spans="1:11" s="16" customFormat="1" ht="15" customHeight="1" x14ac:dyDescent="0.2">
      <c r="A10" s="220" t="s">
        <v>80</v>
      </c>
      <c r="B10" s="220"/>
      <c r="C10" s="221"/>
      <c r="D10" s="219"/>
      <c r="E10" s="219"/>
      <c r="F10" s="219"/>
      <c r="G10" s="219"/>
      <c r="H10" s="219"/>
      <c r="I10" s="213"/>
      <c r="J10" s="213"/>
      <c r="K10" s="213"/>
    </row>
    <row r="11" spans="1:11" s="16" customFormat="1" ht="15" customHeight="1" x14ac:dyDescent="0.2">
      <c r="A11" s="222" t="s">
        <v>81</v>
      </c>
      <c r="B11" s="223">
        <f>SUM(D11:H11)</f>
        <v>51614202.708443768</v>
      </c>
      <c r="C11" s="224"/>
      <c r="D11" s="225">
        <f>+'2-Input - IIFS Liqudity'!I38</f>
        <v>8669524.0434581805</v>
      </c>
      <c r="E11" s="225">
        <f>+'2-Input - IIFS Liqudity'!J38</f>
        <v>11332702.996863559</v>
      </c>
      <c r="F11" s="225">
        <f>+'2-Input - IIFS Liqudity'!K38</f>
        <v>13682818.30219198</v>
      </c>
      <c r="G11" s="225">
        <f>+'2-Input - IIFS Liqudity'!L38</f>
        <v>10103551.414809421</v>
      </c>
      <c r="H11" s="225">
        <f>+'2-Input - IIFS Liqudity'!M38</f>
        <v>7825605.9511206308</v>
      </c>
      <c r="I11" s="213"/>
      <c r="J11" s="213"/>
      <c r="K11" s="213"/>
    </row>
    <row r="12" spans="1:11" s="16" customFormat="1" ht="15" customHeight="1" x14ac:dyDescent="0.2">
      <c r="A12" s="226" t="s">
        <v>232</v>
      </c>
      <c r="B12" s="227">
        <f>SUM(D12:H12)</f>
        <v>22613418.628675736</v>
      </c>
      <c r="C12" s="228"/>
      <c r="D12" s="229">
        <f>+'2-Input - IIFS Liqudity'!I63</f>
        <v>5644580.0174437761</v>
      </c>
      <c r="E12" s="229">
        <f>+'2-Input - IIFS Liqudity'!J63</f>
        <v>3083727.12278128</v>
      </c>
      <c r="F12" s="229">
        <f>+'2-Input - IIFS Liqudity'!K63</f>
        <v>6184798.3828480197</v>
      </c>
      <c r="G12" s="229">
        <f>+'2-Input - IIFS Liqudity'!L63</f>
        <v>2556521.282619481</v>
      </c>
      <c r="H12" s="229">
        <f>+'2-Input - IIFS Liqudity'!M63</f>
        <v>5143791.8229831774</v>
      </c>
      <c r="I12" s="213"/>
      <c r="J12" s="213"/>
      <c r="K12" s="213"/>
    </row>
    <row r="13" spans="1:11" s="16" customFormat="1" ht="15" customHeight="1" x14ac:dyDescent="0.2">
      <c r="A13" s="226" t="s">
        <v>15</v>
      </c>
      <c r="B13" s="227">
        <f>SUM(D13:H13)</f>
        <v>82084134.373911291</v>
      </c>
      <c r="C13" s="228"/>
      <c r="D13" s="229">
        <f>+'2-Input - IIFS Liqudity'!I15</f>
        <v>16849328.640699401</v>
      </c>
      <c r="E13" s="229">
        <f>+'2-Input - IIFS Liqudity'!J15</f>
        <v>16545896.7205882</v>
      </c>
      <c r="F13" s="229">
        <f>+'2-Input - IIFS Liqudity'!K15</f>
        <v>15947302.0410292</v>
      </c>
      <c r="G13" s="229">
        <f>+'2-Input - IIFS Liqudity'!L15</f>
        <v>16447157.782196999</v>
      </c>
      <c r="H13" s="229">
        <f>+'2-Input - IIFS Liqudity'!M15</f>
        <v>16294449.189397499</v>
      </c>
      <c r="I13" s="213"/>
      <c r="J13" s="213"/>
      <c r="K13" s="213"/>
    </row>
    <row r="14" spans="1:11" s="16" customFormat="1" ht="15" customHeight="1" x14ac:dyDescent="0.2">
      <c r="A14" s="226" t="s">
        <v>82</v>
      </c>
      <c r="B14" s="227">
        <f>SUM(D14:H14)</f>
        <v>22285015.5</v>
      </c>
      <c r="C14" s="228"/>
      <c r="D14" s="230">
        <f>(SUMPRODUCT('2-Input - IIFS Liqudity'!I91:I103,'3-Assumptions'!$H$67:$H$79))</f>
        <v>4301737.8</v>
      </c>
      <c r="E14" s="230">
        <f>(SUMPRODUCT('2-Input - IIFS Liqudity'!J91:J103,'3-Assumptions'!$H$67:$H$79))</f>
        <v>4705496.8000000007</v>
      </c>
      <c r="F14" s="230">
        <f>(SUMPRODUCT('2-Input - IIFS Liqudity'!K91:K103,'3-Assumptions'!$H$67:$H$79))</f>
        <v>2970590.5</v>
      </c>
      <c r="G14" s="230">
        <f>(SUMPRODUCT('2-Input - IIFS Liqudity'!L91:L103,'3-Assumptions'!$H$67:$H$79))</f>
        <v>4495354.5999999996</v>
      </c>
      <c r="H14" s="230">
        <f>(SUMPRODUCT('2-Input - IIFS Liqudity'!M91:M103,'3-Assumptions'!$H$67:$H$79))</f>
        <v>5811835.8000000007</v>
      </c>
      <c r="I14" s="213"/>
      <c r="J14" s="213"/>
      <c r="K14" s="213"/>
    </row>
    <row r="15" spans="1:11" s="16" customFormat="1" ht="15" customHeight="1" x14ac:dyDescent="0.2">
      <c r="A15" s="231" t="s">
        <v>83</v>
      </c>
      <c r="B15" s="232">
        <f>SUM(D15:H15)</f>
        <v>59799118.873911291</v>
      </c>
      <c r="C15" s="233"/>
      <c r="D15" s="234">
        <f>'2-Input - IIFS Liqudity'!I15-D14</f>
        <v>12547590.840699401</v>
      </c>
      <c r="E15" s="234">
        <f>'2-Input - IIFS Liqudity'!J15-E14</f>
        <v>11840399.920588199</v>
      </c>
      <c r="F15" s="234">
        <f>'2-Input - IIFS Liqudity'!K15-F14</f>
        <v>12976711.5410292</v>
      </c>
      <c r="G15" s="234">
        <f>'2-Input - IIFS Liqudity'!L15-G14</f>
        <v>11951803.182196999</v>
      </c>
      <c r="H15" s="234">
        <f>'2-Input - IIFS Liqudity'!M15-H14</f>
        <v>10482613.389397498</v>
      </c>
      <c r="I15" s="213"/>
      <c r="J15" s="213"/>
      <c r="K15" s="213"/>
    </row>
    <row r="16" spans="1:11" s="16" customFormat="1" ht="15" customHeight="1" x14ac:dyDescent="0.2">
      <c r="A16" s="235"/>
      <c r="B16" s="236"/>
      <c r="C16" s="235"/>
      <c r="D16" s="237"/>
      <c r="E16" s="238"/>
      <c r="F16" s="238"/>
      <c r="G16" s="238"/>
      <c r="H16" s="238"/>
      <c r="I16" s="213"/>
      <c r="J16" s="213"/>
      <c r="K16" s="213"/>
    </row>
    <row r="17" spans="1:11" s="16" customFormat="1" ht="15" customHeight="1" x14ac:dyDescent="0.2">
      <c r="A17" s="220" t="s">
        <v>84</v>
      </c>
      <c r="B17" s="239" t="s">
        <v>79</v>
      </c>
      <c r="C17" s="240"/>
      <c r="D17" s="241" t="str">
        <f>D$8</f>
        <v>IIFS1</v>
      </c>
      <c r="E17" s="241" t="str">
        <f t="shared" ref="E17:H17" si="0">E$8</f>
        <v>IIFS2</v>
      </c>
      <c r="F17" s="241" t="str">
        <f t="shared" si="0"/>
        <v>IIFS3</v>
      </c>
      <c r="G17" s="241" t="str">
        <f t="shared" si="0"/>
        <v>IIFS4</v>
      </c>
      <c r="H17" s="241" t="str">
        <f t="shared" si="0"/>
        <v>IIFS5</v>
      </c>
      <c r="I17" s="213"/>
      <c r="J17" s="213"/>
      <c r="K17" s="213"/>
    </row>
    <row r="18" spans="1:11" s="13" customFormat="1" ht="15" customHeight="1" x14ac:dyDescent="0.2">
      <c r="A18" s="242" t="s">
        <v>85</v>
      </c>
      <c r="B18" s="243">
        <f t="shared" ref="B18:B25" si="1">SUM(D18:H18)</f>
        <v>2763204.5612897389</v>
      </c>
      <c r="C18" s="224"/>
      <c r="D18" s="428">
        <f>SUM(D19:D21)</f>
        <v>464129.38927710499</v>
      </c>
      <c r="E18" s="429">
        <f>SUM(E19:E21)</f>
        <v>606704.64657884568</v>
      </c>
      <c r="F18" s="429">
        <f t="shared" ref="F18:H18" si="2">SUM(F19:F21)</f>
        <v>732519.8096633656</v>
      </c>
      <c r="G18" s="429">
        <f t="shared" si="2"/>
        <v>540901.10647121433</v>
      </c>
      <c r="H18" s="430">
        <f t="shared" si="2"/>
        <v>418949.60929920821</v>
      </c>
      <c r="I18" s="204"/>
      <c r="J18" s="204"/>
      <c r="K18" s="204"/>
    </row>
    <row r="19" spans="1:11" s="16" customFormat="1" ht="15" customHeight="1" x14ac:dyDescent="0.2">
      <c r="A19" s="257" t="s">
        <v>86</v>
      </c>
      <c r="B19" s="223">
        <f t="shared" si="1"/>
        <v>2763204.5612897389</v>
      </c>
      <c r="C19" s="270"/>
      <c r="D19" s="415">
        <f>IF('5-Calculation'!C10,'5-Calculation'!C10,"n.a.")</f>
        <v>464129.38927710499</v>
      </c>
      <c r="E19" s="416">
        <f>IF('5-Calculation'!D10,'5-Calculation'!D10,"n.a.")</f>
        <v>606704.64657884568</v>
      </c>
      <c r="F19" s="416">
        <f>IF('5-Calculation'!E10,'5-Calculation'!E10,"n.a.")</f>
        <v>732519.8096633656</v>
      </c>
      <c r="G19" s="416">
        <f>IF('5-Calculation'!F10,'5-Calculation'!F10,"n.a.")</f>
        <v>540901.10647121433</v>
      </c>
      <c r="H19" s="279">
        <f>IF('5-Calculation'!G10,'5-Calculation'!G10,"n.a.")</f>
        <v>418949.60929920821</v>
      </c>
      <c r="I19" s="213"/>
      <c r="J19" s="213"/>
      <c r="K19" s="213"/>
    </row>
    <row r="20" spans="1:11" s="16" customFormat="1" ht="15" customHeight="1" x14ac:dyDescent="0.2">
      <c r="A20" s="259" t="s">
        <v>345</v>
      </c>
      <c r="B20" s="227">
        <f t="shared" si="1"/>
        <v>0</v>
      </c>
      <c r="C20" s="271"/>
      <c r="D20" s="417" t="str">
        <f>IF('5-Calculation'!C11,'5-Calculation'!C11,"n.a.")</f>
        <v>n.a.</v>
      </c>
      <c r="E20" s="418" t="str">
        <f>IF('5-Calculation'!D11,'5-Calculation'!D11,"n.a.")</f>
        <v>n.a.</v>
      </c>
      <c r="F20" s="418" t="str">
        <f>IF('5-Calculation'!E11,'5-Calculation'!E11,"n.a.")</f>
        <v>n.a.</v>
      </c>
      <c r="G20" s="418" t="str">
        <f>IF('5-Calculation'!F11,'5-Calculation'!F11,"n.a.")</f>
        <v>n.a.</v>
      </c>
      <c r="H20" s="283" t="str">
        <f>IF('5-Calculation'!G11,'5-Calculation'!G11,"n.a.")</f>
        <v>n.a.</v>
      </c>
      <c r="I20" s="213"/>
      <c r="J20" s="213"/>
      <c r="K20" s="213"/>
    </row>
    <row r="21" spans="1:11" s="16" customFormat="1" ht="15" customHeight="1" x14ac:dyDescent="0.2">
      <c r="A21" s="259" t="s">
        <v>88</v>
      </c>
      <c r="B21" s="227">
        <f t="shared" si="1"/>
        <v>0</v>
      </c>
      <c r="C21" s="271"/>
      <c r="D21" s="417" t="str">
        <f>IF(ISNUMBER('5-Calculation'!C12+'5-Calculation'!C13+'5-Calculation'!C14+'5-Calculation'!C15),('5-Calculation'!C12+'5-Calculation'!C13+'5-Calculation'!C14+'5-Calculation'!C15),"n.a.")</f>
        <v>n.a.</v>
      </c>
      <c r="E21" s="418" t="str">
        <f>IF(ISNUMBER('5-Calculation'!D12+'5-Calculation'!D13+'5-Calculation'!D14+'5-Calculation'!D15),('5-Calculation'!D12+'5-Calculation'!D13+'5-Calculation'!D14+'5-Calculation'!D15),"n.a.")</f>
        <v>n.a.</v>
      </c>
      <c r="F21" s="418" t="str">
        <f>IF(ISNUMBER('5-Calculation'!E12+'5-Calculation'!E13+'5-Calculation'!E14+'5-Calculation'!E15),('5-Calculation'!E12+'5-Calculation'!E13+'5-Calculation'!E14+'5-Calculation'!E15),"n.a.")</f>
        <v>n.a.</v>
      </c>
      <c r="G21" s="418" t="str">
        <f>IF(ISNUMBER('5-Calculation'!F12+'5-Calculation'!F13+'5-Calculation'!F14+'5-Calculation'!F15),('5-Calculation'!F12+'5-Calculation'!F13+'5-Calculation'!F14+'5-Calculation'!F15),"n.a.")</f>
        <v>n.a.</v>
      </c>
      <c r="H21" s="283" t="str">
        <f>IF(ISNUMBER('5-Calculation'!G12+'5-Calculation'!G13+'5-Calculation'!G14+'5-Calculation'!G15),('5-Calculation'!G12+'5-Calculation'!G13+'5-Calculation'!G14+'5-Calculation'!G15),"n.a.")</f>
        <v>n.a.</v>
      </c>
      <c r="I21" s="213"/>
      <c r="J21" s="213"/>
      <c r="K21" s="213"/>
    </row>
    <row r="22" spans="1:11" s="16" customFormat="1" ht="15" customHeight="1" x14ac:dyDescent="0.2">
      <c r="A22" s="260" t="s">
        <v>346</v>
      </c>
      <c r="B22" s="232"/>
      <c r="C22" s="272"/>
      <c r="D22" s="419">
        <f>+'5-Calculation'!C16</f>
        <v>15888</v>
      </c>
      <c r="E22" s="420">
        <f>+'5-Calculation'!D16</f>
        <v>12396.449999999999</v>
      </c>
      <c r="F22" s="420">
        <f>+'5-Calculation'!E16</f>
        <v>3763.56</v>
      </c>
      <c r="G22" s="420">
        <f>+'5-Calculation'!F16</f>
        <v>18015.719999999998</v>
      </c>
      <c r="H22" s="285">
        <f>+'5-Calculation'!G16</f>
        <v>13507.5</v>
      </c>
      <c r="I22" s="213"/>
      <c r="J22" s="213"/>
      <c r="K22" s="213"/>
    </row>
    <row r="23" spans="1:11" s="16" customFormat="1" ht="15" customHeight="1" x14ac:dyDescent="0.2">
      <c r="A23" s="246" t="s">
        <v>89</v>
      </c>
      <c r="B23" s="243">
        <f t="shared" si="1"/>
        <v>22285015.5</v>
      </c>
      <c r="C23" s="247"/>
      <c r="D23" s="425">
        <f>+'5-Calculation'!C17</f>
        <v>4301737.8</v>
      </c>
      <c r="E23" s="426">
        <f>+'5-Calculation'!D17</f>
        <v>4705496.8000000007</v>
      </c>
      <c r="F23" s="426">
        <f>+'5-Calculation'!E17</f>
        <v>2970590.5</v>
      </c>
      <c r="G23" s="426">
        <f>+'5-Calculation'!F17</f>
        <v>4495354.5999999996</v>
      </c>
      <c r="H23" s="427">
        <f>+'5-Calculation'!G17</f>
        <v>5811835.8000000007</v>
      </c>
      <c r="I23" s="213"/>
      <c r="J23" s="213"/>
      <c r="K23" s="213"/>
    </row>
    <row r="24" spans="1:11" s="16" customFormat="1" ht="15" customHeight="1" x14ac:dyDescent="0.2">
      <c r="A24" s="248" t="s">
        <v>90</v>
      </c>
      <c r="B24" s="273">
        <f>SUM(D24:H24)</f>
        <v>0</v>
      </c>
      <c r="C24" s="233"/>
      <c r="D24" s="428" t="str">
        <f>IF(ISNUMBER(D23-D19-D20-D21)=TRUE,D23-D19-D20-D21,"n.a.")</f>
        <v>n.a.</v>
      </c>
      <c r="E24" s="429" t="str">
        <f t="shared" ref="E24:H24" si="3">IF(ISNUMBER(E23-E19-E20-E21)=TRUE,E23-E19-E20-E21,"n.a.")</f>
        <v>n.a.</v>
      </c>
      <c r="F24" s="429" t="str">
        <f t="shared" si="3"/>
        <v>n.a.</v>
      </c>
      <c r="G24" s="429" t="str">
        <f t="shared" si="3"/>
        <v>n.a.</v>
      </c>
      <c r="H24" s="430" t="str">
        <f t="shared" si="3"/>
        <v>n.a.</v>
      </c>
      <c r="I24" s="213"/>
      <c r="J24" s="213"/>
      <c r="K24" s="213"/>
    </row>
    <row r="25" spans="1:11" s="16" customFormat="1" ht="15" customHeight="1" x14ac:dyDescent="0.2">
      <c r="A25" s="249" t="s">
        <v>91</v>
      </c>
      <c r="B25" s="250">
        <f t="shared" si="1"/>
        <v>0</v>
      </c>
      <c r="C25" s="251"/>
      <c r="D25" s="433" t="str">
        <f>IF(ISNUMBER(D24)=FALSE,"n.a",IF(D24&lt;0,1,0))</f>
        <v>n.a</v>
      </c>
      <c r="E25" s="434" t="str">
        <f t="shared" ref="E25:H25" si="4">IF(ISNUMBER(E24)=FALSE,"n.a",IF(E24&lt;0,1,0))</f>
        <v>n.a</v>
      </c>
      <c r="F25" s="434" t="str">
        <f t="shared" si="4"/>
        <v>n.a</v>
      </c>
      <c r="G25" s="434" t="str">
        <f t="shared" si="4"/>
        <v>n.a</v>
      </c>
      <c r="H25" s="435" t="str">
        <f t="shared" si="4"/>
        <v>n.a</v>
      </c>
      <c r="I25" s="213"/>
      <c r="J25" s="213"/>
      <c r="K25" s="213"/>
    </row>
    <row r="26" spans="1:11" s="16" customFormat="1" ht="15" customHeight="1" x14ac:dyDescent="0.2">
      <c r="A26" s="252"/>
      <c r="B26" s="236"/>
      <c r="C26" s="235"/>
      <c r="D26" s="253"/>
      <c r="E26" s="254"/>
      <c r="F26" s="254"/>
      <c r="G26" s="254"/>
      <c r="H26" s="254"/>
      <c r="I26" s="213"/>
      <c r="J26" s="213"/>
      <c r="K26" s="213"/>
    </row>
    <row r="27" spans="1:11" s="16" customFormat="1" ht="15" customHeight="1" x14ac:dyDescent="0.2">
      <c r="A27" s="220" t="s">
        <v>92</v>
      </c>
      <c r="B27" s="239" t="s">
        <v>79</v>
      </c>
      <c r="C27" s="235"/>
      <c r="D27" s="241" t="str">
        <f>D$8</f>
        <v>IIFS1</v>
      </c>
      <c r="E27" s="241" t="str">
        <f t="shared" ref="E27:H27" si="5">E$8</f>
        <v>IIFS2</v>
      </c>
      <c r="F27" s="241" t="str">
        <f t="shared" si="5"/>
        <v>IIFS3</v>
      </c>
      <c r="G27" s="241" t="str">
        <f t="shared" si="5"/>
        <v>IIFS4</v>
      </c>
      <c r="H27" s="241" t="str">
        <f t="shared" si="5"/>
        <v>IIFS5</v>
      </c>
      <c r="I27" s="213"/>
      <c r="J27" s="213"/>
      <c r="K27" s="213"/>
    </row>
    <row r="28" spans="1:11" s="13" customFormat="1" ht="15" customHeight="1" x14ac:dyDescent="0.2">
      <c r="A28" s="242" t="s">
        <v>93</v>
      </c>
      <c r="B28" s="243">
        <f t="shared" ref="B28:B39" si="6">SUM(D28:H28)</f>
        <v>2643398.8656674065</v>
      </c>
      <c r="C28" s="224"/>
      <c r="D28" s="428">
        <f>SUM(D29:D32)</f>
        <v>449059.66821930994</v>
      </c>
      <c r="E28" s="429">
        <f t="shared" ref="E28:G28" si="7">SUM(E29:E32)</f>
        <v>578884.68140502088</v>
      </c>
      <c r="F28" s="429">
        <f t="shared" si="7"/>
        <v>688063.19749590824</v>
      </c>
      <c r="G28" s="429">
        <f t="shared" si="7"/>
        <v>522853.39327578625</v>
      </c>
      <c r="H28" s="430">
        <f>SUM(H29:H32)</f>
        <v>404537.92527138104</v>
      </c>
      <c r="I28" s="204"/>
      <c r="J28" s="204"/>
      <c r="K28" s="204"/>
    </row>
    <row r="29" spans="1:11" s="16" customFormat="1" ht="15" customHeight="1" x14ac:dyDescent="0.2">
      <c r="A29" s="244" t="s">
        <v>94</v>
      </c>
      <c r="B29" s="223">
        <f t="shared" si="6"/>
        <v>2581734.7725674063</v>
      </c>
      <c r="C29" s="255"/>
      <c r="D29" s="415">
        <f>+'5-Calculation'!C21</f>
        <v>433648.3082193099</v>
      </c>
      <c r="E29" s="416">
        <f>+'5-Calculation'!D21</f>
        <v>566860.12490502081</v>
      </c>
      <c r="F29" s="416">
        <f>+'5-Calculation'!E21</f>
        <v>684412.54429590818</v>
      </c>
      <c r="G29" s="416">
        <f>+'5-Calculation'!F21</f>
        <v>505378.14487578621</v>
      </c>
      <c r="H29" s="279">
        <f>+'5-Calculation'!G21</f>
        <v>391435.65027138102</v>
      </c>
      <c r="I29" s="213"/>
      <c r="J29" s="213"/>
      <c r="K29" s="213"/>
    </row>
    <row r="30" spans="1:11" s="16" customFormat="1" ht="15" customHeight="1" x14ac:dyDescent="0.2">
      <c r="A30" s="245" t="s">
        <v>95</v>
      </c>
      <c r="B30" s="281">
        <f t="shared" si="6"/>
        <v>0</v>
      </c>
      <c r="C30" s="256"/>
      <c r="D30" s="417">
        <f>+'5-Calculation'!C22</f>
        <v>0</v>
      </c>
      <c r="E30" s="418">
        <v>0</v>
      </c>
      <c r="F30" s="418">
        <v>0</v>
      </c>
      <c r="G30" s="418">
        <v>0</v>
      </c>
      <c r="H30" s="283">
        <v>0</v>
      </c>
      <c r="I30" s="213"/>
      <c r="J30" s="213"/>
      <c r="K30" s="213"/>
    </row>
    <row r="31" spans="1:11" s="16" customFormat="1" ht="15" customHeight="1" x14ac:dyDescent="0.2">
      <c r="A31" s="245" t="s">
        <v>96</v>
      </c>
      <c r="B31" s="281">
        <f t="shared" si="6"/>
        <v>0</v>
      </c>
      <c r="C31" s="256"/>
      <c r="D31" s="417" t="str">
        <f>IF(ISNUMBER(+'5-Calculation'!C23+'5-Calculation'!C24+'5-Calculation'!C25+'5-Calculation'!C26),+'5-Calculation'!C23+'5-Calculation'!C24+'5-Calculation'!C25+'5-Calculation'!C26, "n.a")</f>
        <v>n.a</v>
      </c>
      <c r="E31" s="418" t="str">
        <f>IF(ISNUMBER(+'5-Calculation'!D23+'5-Calculation'!D24+'5-Calculation'!D25+'5-Calculation'!D26),+'5-Calculation'!D23+'5-Calculation'!D24+'5-Calculation'!D25+'5-Calculation'!D26, "n.a")</f>
        <v>n.a</v>
      </c>
      <c r="F31" s="418" t="str">
        <f>IF(ISNUMBER(+'5-Calculation'!E23+'5-Calculation'!E24+'5-Calculation'!E25+'5-Calculation'!E26),+'5-Calculation'!E23+'5-Calculation'!E24+'5-Calculation'!E25+'5-Calculation'!E26, "n.a")</f>
        <v>n.a</v>
      </c>
      <c r="G31" s="418" t="str">
        <f>IF(ISNUMBER(+'5-Calculation'!F23+'5-Calculation'!F24+'5-Calculation'!F25+'5-Calculation'!F26),+'5-Calculation'!F23+'5-Calculation'!F24+'5-Calculation'!F25+'5-Calculation'!F26, "n.a")</f>
        <v>n.a</v>
      </c>
      <c r="H31" s="283" t="str">
        <f>IF(ISNUMBER(+'5-Calculation'!G23+'5-Calculation'!G24+'5-Calculation'!G25+'5-Calculation'!G26),+'5-Calculation'!G23+'5-Calculation'!G24+'5-Calculation'!G25+'5-Calculation'!G26, "n.a")</f>
        <v>n.a</v>
      </c>
      <c r="I31" s="213"/>
      <c r="J31" s="213"/>
      <c r="K31" s="213"/>
    </row>
    <row r="32" spans="1:11" s="16" customFormat="1" ht="15" customHeight="1" x14ac:dyDescent="0.2">
      <c r="A32" s="245" t="str">
        <f>+A22</f>
        <v>Outflow of RPSIA</v>
      </c>
      <c r="B32" s="281">
        <f t="shared" si="6"/>
        <v>61664.093100000086</v>
      </c>
      <c r="C32" s="256"/>
      <c r="D32" s="419">
        <f>+'5-Calculation'!C27</f>
        <v>15411.360000000022</v>
      </c>
      <c r="E32" s="420">
        <f>+'5-Calculation'!D27</f>
        <v>12024.556500000017</v>
      </c>
      <c r="F32" s="420">
        <f>+'5-Calculation'!E27</f>
        <v>3650.6532000000052</v>
      </c>
      <c r="G32" s="420">
        <f>+'5-Calculation'!F27</f>
        <v>17475.248400000026</v>
      </c>
      <c r="H32" s="285">
        <f>+'5-Calculation'!G27</f>
        <v>13102.27500000002</v>
      </c>
      <c r="I32" s="213"/>
      <c r="J32" s="213"/>
      <c r="K32" s="213"/>
    </row>
    <row r="33" spans="1:11" s="13" customFormat="1" ht="15" customHeight="1" x14ac:dyDescent="0.2">
      <c r="A33" s="242" t="s">
        <v>97</v>
      </c>
      <c r="B33" s="243">
        <f t="shared" si="6"/>
        <v>5470174.6569571458</v>
      </c>
      <c r="C33" s="224"/>
      <c r="D33" s="428">
        <f>IF(ISNUMBER(SUM(D34:D37)),SUM(D34:D37),0)</f>
        <v>929077.05749641487</v>
      </c>
      <c r="E33" s="429">
        <f>IF(ISNUMBER(SUM(E34:E37)),SUM(E34:E37),0)</f>
        <v>1197985.7779838666</v>
      </c>
      <c r="F33" s="429">
        <f>IF(ISNUMBER(SUM(F34:F37)),SUM(F34:F37),0)</f>
        <v>1424346.5671592739</v>
      </c>
      <c r="G33" s="429">
        <f t="shared" ref="G33:H33" si="8">IF(ISNUMBER(SUM(G34:G37)),SUM(G34:G37),0)</f>
        <v>1081770.2197470006</v>
      </c>
      <c r="H33" s="430">
        <f t="shared" si="8"/>
        <v>836995.03457058931</v>
      </c>
      <c r="I33" s="204"/>
      <c r="J33" s="204"/>
      <c r="K33" s="204"/>
    </row>
    <row r="34" spans="1:11" s="16" customFormat="1" ht="15" customHeight="1" x14ac:dyDescent="0.2">
      <c r="A34" s="257" t="s">
        <v>98</v>
      </c>
      <c r="B34" s="258">
        <f t="shared" si="6"/>
        <v>5344939.3338571452</v>
      </c>
      <c r="C34" s="270"/>
      <c r="D34" s="415">
        <f>IF(ISNUMBER(D19+D29),D19+D29,0)</f>
        <v>897777.69749641488</v>
      </c>
      <c r="E34" s="416">
        <f t="shared" ref="E34:H34" si="9">IF(ISNUMBER(E19+E29),E19+E29,0)</f>
        <v>1173564.7714838665</v>
      </c>
      <c r="F34" s="416">
        <f t="shared" si="9"/>
        <v>1416932.3539592738</v>
      </c>
      <c r="G34" s="416">
        <f t="shared" si="9"/>
        <v>1046279.2513470005</v>
      </c>
      <c r="H34" s="279">
        <f t="shared" si="9"/>
        <v>810385.25957058929</v>
      </c>
      <c r="I34" s="213"/>
      <c r="J34" s="213"/>
      <c r="K34" s="213"/>
    </row>
    <row r="35" spans="1:11" s="16" customFormat="1" ht="15" customHeight="1" x14ac:dyDescent="0.2">
      <c r="A35" s="259" t="s">
        <v>99</v>
      </c>
      <c r="B35" s="304">
        <f t="shared" si="6"/>
        <v>0</v>
      </c>
      <c r="C35" s="271"/>
      <c r="D35" s="417">
        <f>IF(ISNUMBER(D20+D30),D20+D30,0)</f>
        <v>0</v>
      </c>
      <c r="E35" s="418">
        <f t="shared" ref="E35:H36" si="10">IF(ISNUMBER(E20+E30),E20+E30,0)</f>
        <v>0</v>
      </c>
      <c r="F35" s="418">
        <f t="shared" si="10"/>
        <v>0</v>
      </c>
      <c r="G35" s="418">
        <f t="shared" si="10"/>
        <v>0</v>
      </c>
      <c r="H35" s="283">
        <f t="shared" si="10"/>
        <v>0</v>
      </c>
      <c r="I35" s="213"/>
      <c r="J35" s="213"/>
      <c r="K35" s="213"/>
    </row>
    <row r="36" spans="1:11" s="16" customFormat="1" ht="15" customHeight="1" x14ac:dyDescent="0.2">
      <c r="A36" s="259" t="s">
        <v>100</v>
      </c>
      <c r="B36" s="304">
        <f t="shared" si="6"/>
        <v>0</v>
      </c>
      <c r="C36" s="271"/>
      <c r="D36" s="417">
        <f>IF(ISNUMBER(D21+D31),D21+D31,0)</f>
        <v>0</v>
      </c>
      <c r="E36" s="418">
        <f t="shared" si="10"/>
        <v>0</v>
      </c>
      <c r="F36" s="418">
        <f t="shared" si="10"/>
        <v>0</v>
      </c>
      <c r="G36" s="418">
        <f t="shared" si="10"/>
        <v>0</v>
      </c>
      <c r="H36" s="283">
        <f t="shared" si="10"/>
        <v>0</v>
      </c>
      <c r="I36" s="213"/>
      <c r="J36" s="213"/>
      <c r="K36" s="213"/>
    </row>
    <row r="37" spans="1:11" s="16" customFormat="1" ht="15" customHeight="1" x14ac:dyDescent="0.2">
      <c r="A37" s="260" t="s">
        <v>347</v>
      </c>
      <c r="B37" s="305">
        <f t="shared" si="6"/>
        <v>125235.3231000001</v>
      </c>
      <c r="C37" s="272"/>
      <c r="D37" s="419">
        <f>IF(ISNUMBER(D22+D32),D22+D32,0)</f>
        <v>31299.360000000022</v>
      </c>
      <c r="E37" s="420">
        <f>IF(ISNUMBER(E22+E32),E22+E32,0)</f>
        <v>24421.006500000018</v>
      </c>
      <c r="F37" s="420">
        <f t="shared" ref="F37:G37" si="11">IF(ISNUMBER(F22+F32),F22+F32,0)</f>
        <v>7414.2132000000056</v>
      </c>
      <c r="G37" s="420">
        <f t="shared" si="11"/>
        <v>35490.968400000027</v>
      </c>
      <c r="H37" s="285">
        <f>IF(ISNUMBER(H22+H32),H22+H32,0)</f>
        <v>26609.77500000002</v>
      </c>
      <c r="I37" s="213"/>
      <c r="J37" s="213"/>
      <c r="K37" s="213"/>
    </row>
    <row r="38" spans="1:11" s="16" customFormat="1" ht="15" customHeight="1" x14ac:dyDescent="0.2">
      <c r="A38" s="261" t="s">
        <v>90</v>
      </c>
      <c r="B38" s="232">
        <f t="shared" si="6"/>
        <v>16814840.843042854</v>
      </c>
      <c r="C38" s="262"/>
      <c r="D38" s="428">
        <f>IF(ISNUMBER(D$23-D34-D35-D36-D37)=TRUE,D$23-D34-D35-D36-D37,"n.a.")</f>
        <v>3372660.7425035848</v>
      </c>
      <c r="E38" s="429">
        <f t="shared" ref="E38:H38" si="12">IF(ISNUMBER(E$23-E34-E35-E36-E37)=TRUE,E$23-E34-E35-E36-E37,"n.a.")</f>
        <v>3507511.0220161341</v>
      </c>
      <c r="F38" s="429">
        <f t="shared" si="12"/>
        <v>1546243.9328407261</v>
      </c>
      <c r="G38" s="429">
        <f t="shared" si="12"/>
        <v>3413584.3802529988</v>
      </c>
      <c r="H38" s="430">
        <f t="shared" si="12"/>
        <v>4974840.7654294111</v>
      </c>
      <c r="I38" s="213"/>
      <c r="J38" s="213"/>
      <c r="K38" s="213"/>
    </row>
    <row r="39" spans="1:11" s="16" customFormat="1" ht="15" customHeight="1" x14ac:dyDescent="0.2">
      <c r="A39" s="263" t="s">
        <v>91</v>
      </c>
      <c r="B39" s="250">
        <f t="shared" si="6"/>
        <v>0</v>
      </c>
      <c r="C39" s="251"/>
      <c r="D39" s="269">
        <f t="shared" ref="D39:H39" si="13">IF(ISNUMBER(D38)=FALSE,"n.a",IF(D38&lt;0,1,0))</f>
        <v>0</v>
      </c>
      <c r="E39" s="431">
        <f t="shared" si="13"/>
        <v>0</v>
      </c>
      <c r="F39" s="431">
        <f t="shared" si="13"/>
        <v>0</v>
      </c>
      <c r="G39" s="431">
        <f t="shared" si="13"/>
        <v>0</v>
      </c>
      <c r="H39" s="432">
        <f t="shared" si="13"/>
        <v>0</v>
      </c>
      <c r="I39" s="213"/>
      <c r="J39" s="213"/>
      <c r="K39" s="213"/>
    </row>
    <row r="40" spans="1:11" s="16" customFormat="1" ht="15" customHeight="1" x14ac:dyDescent="0.2">
      <c r="A40" s="252"/>
      <c r="B40" s="236"/>
      <c r="C40" s="235"/>
      <c r="D40" s="253"/>
      <c r="E40" s="254"/>
      <c r="F40" s="254"/>
      <c r="G40" s="254"/>
      <c r="H40" s="254"/>
      <c r="I40" s="213"/>
      <c r="J40" s="213"/>
      <c r="K40" s="213"/>
    </row>
    <row r="41" spans="1:11" s="16" customFormat="1" ht="15" customHeight="1" x14ac:dyDescent="0.2">
      <c r="A41" s="220" t="s">
        <v>101</v>
      </c>
      <c r="B41" s="239" t="s">
        <v>79</v>
      </c>
      <c r="C41" s="235"/>
      <c r="D41" s="241" t="str">
        <f>D$8</f>
        <v>IIFS1</v>
      </c>
      <c r="E41" s="241" t="str">
        <f t="shared" ref="E41:H41" si="14">E$8</f>
        <v>IIFS2</v>
      </c>
      <c r="F41" s="241" t="str">
        <f t="shared" si="14"/>
        <v>IIFS3</v>
      </c>
      <c r="G41" s="241" t="str">
        <f t="shared" si="14"/>
        <v>IIFS4</v>
      </c>
      <c r="H41" s="241" t="str">
        <f t="shared" si="14"/>
        <v>IIFS5</v>
      </c>
      <c r="I41" s="213"/>
      <c r="J41" s="213"/>
      <c r="K41" s="213"/>
    </row>
    <row r="42" spans="1:11" s="13" customFormat="1" ht="15" customHeight="1" x14ac:dyDescent="0.2">
      <c r="A42" s="242" t="s">
        <v>102</v>
      </c>
      <c r="B42" s="243">
        <f>SUM(D42:H42)</f>
        <v>2474006.3612349047</v>
      </c>
      <c r="C42" s="224"/>
      <c r="D42" s="428">
        <f>SUM(D43:D46)</f>
        <v>420455.56868612522</v>
      </c>
      <c r="E42" s="429">
        <f t="shared" ref="E42:H42" si="15">SUM(E43:E46)</f>
        <v>541737.35851060611</v>
      </c>
      <c r="F42" s="429">
        <f t="shared" si="15"/>
        <v>643538.4863022971</v>
      </c>
      <c r="G42" s="429">
        <f t="shared" si="15"/>
        <v>489532.4442362655</v>
      </c>
      <c r="H42" s="430">
        <f t="shared" si="15"/>
        <v>378742.50349961087</v>
      </c>
      <c r="I42" s="204"/>
      <c r="J42" s="204"/>
      <c r="K42" s="204"/>
    </row>
    <row r="43" spans="1:11" s="16" customFormat="1" ht="15" customHeight="1" x14ac:dyDescent="0.2">
      <c r="A43" s="257" t="s">
        <v>103</v>
      </c>
      <c r="B43" s="258">
        <f>SUM(D43:H43)</f>
        <v>2414192.190927905</v>
      </c>
      <c r="C43" s="264"/>
      <c r="D43" s="415">
        <f>+'5-Calculation'!C31</f>
        <v>405506.54948612524</v>
      </c>
      <c r="E43" s="416">
        <f>+'5-Calculation'!D31</f>
        <v>530073.53870560613</v>
      </c>
      <c r="F43" s="416">
        <f>+'5-Calculation'!E31</f>
        <v>639997.35269829712</v>
      </c>
      <c r="G43" s="416">
        <f>+'5-Calculation'!F31</f>
        <v>472581.4532882655</v>
      </c>
      <c r="H43" s="279">
        <f>+'5-Calculation'!G31</f>
        <v>366033.29674961086</v>
      </c>
      <c r="I43" s="213"/>
      <c r="J43" s="213"/>
      <c r="K43" s="213"/>
    </row>
    <row r="44" spans="1:11" s="16" customFormat="1" ht="15" customHeight="1" x14ac:dyDescent="0.2">
      <c r="A44" s="259" t="s">
        <v>87</v>
      </c>
      <c r="B44" s="304">
        <f t="shared" ref="B44:B53" si="16">SUM(D44:H44)</f>
        <v>0</v>
      </c>
      <c r="C44" s="265"/>
      <c r="D44" s="417">
        <f>+'5-Calculation'!C32</f>
        <v>0</v>
      </c>
      <c r="E44" s="418">
        <f>+'5-Calculation'!D32</f>
        <v>0</v>
      </c>
      <c r="F44" s="418">
        <f>+'5-Calculation'!E32</f>
        <v>0</v>
      </c>
      <c r="G44" s="418">
        <f>+'5-Calculation'!F32</f>
        <v>0</v>
      </c>
      <c r="H44" s="283">
        <f>+'5-Calculation'!G32</f>
        <v>0</v>
      </c>
      <c r="I44" s="213"/>
      <c r="J44" s="213"/>
      <c r="K44" s="213"/>
    </row>
    <row r="45" spans="1:11" s="16" customFormat="1" ht="15" customHeight="1" x14ac:dyDescent="0.2">
      <c r="A45" s="259" t="s">
        <v>104</v>
      </c>
      <c r="B45" s="304">
        <f t="shared" si="16"/>
        <v>0</v>
      </c>
      <c r="C45" s="265"/>
      <c r="D45" s="417" t="str">
        <f>IF(ISNUMBER(+'5-Calculation'!C33+'5-Calculation'!C34+'5-Calculation'!C35+'5-Calculation'!C36),(+'5-Calculation'!C33+'5-Calculation'!C34+'5-Calculation'!C35+'5-Calculation'!C36),"n.a")</f>
        <v>n.a</v>
      </c>
      <c r="E45" s="418" t="str">
        <f>IF(ISNUMBER(+'5-Calculation'!D33+'5-Calculation'!D34+'5-Calculation'!D35+'5-Calculation'!D36),(+'5-Calculation'!D33+'5-Calculation'!D34+'5-Calculation'!D35+'5-Calculation'!D36),"n.a")</f>
        <v>n.a</v>
      </c>
      <c r="F45" s="418" t="str">
        <f>IF(ISNUMBER(+'5-Calculation'!E33+'5-Calculation'!E34+'5-Calculation'!E35+'5-Calculation'!E36),(+'5-Calculation'!E33+'5-Calculation'!E34+'5-Calculation'!E35+'5-Calculation'!E36),"n.a")</f>
        <v>n.a</v>
      </c>
      <c r="G45" s="418" t="str">
        <f>IF(ISNUMBER(+'5-Calculation'!F33+'5-Calculation'!F34+'5-Calculation'!F35+'5-Calculation'!F36),(+'5-Calculation'!F33+'5-Calculation'!F34+'5-Calculation'!F35+'5-Calculation'!F36),"n.a")</f>
        <v>n.a</v>
      </c>
      <c r="H45" s="283" t="str">
        <f>IF(ISNUMBER(+'5-Calculation'!G33+'5-Calculation'!G34+'5-Calculation'!G35+'5-Calculation'!G36),(+'5-Calculation'!G33+'5-Calculation'!G34+'5-Calculation'!G35+'5-Calculation'!G36),"n.a")</f>
        <v>n.a</v>
      </c>
      <c r="I45" s="213"/>
      <c r="J45" s="213"/>
      <c r="K45" s="213"/>
    </row>
    <row r="46" spans="1:11" s="16" customFormat="1" ht="15" customHeight="1" x14ac:dyDescent="0.2">
      <c r="A46" s="245" t="str">
        <f>+A22</f>
        <v>Outflow of RPSIA</v>
      </c>
      <c r="B46" s="304">
        <f>SUM(D46:H46)</f>
        <v>59814.170307000008</v>
      </c>
      <c r="C46" s="256"/>
      <c r="D46" s="419">
        <f>+'5-Calculation'!C37</f>
        <v>14949.019200000001</v>
      </c>
      <c r="E46" s="420">
        <f>+'5-Calculation'!D37</f>
        <v>11663.819805000001</v>
      </c>
      <c r="F46" s="420">
        <f>+'5-Calculation'!E37</f>
        <v>3541.1336040000001</v>
      </c>
      <c r="G46" s="420">
        <f>+'5-Calculation'!F37</f>
        <v>16950.990948000002</v>
      </c>
      <c r="H46" s="285">
        <f>+'5-Calculation'!G37</f>
        <v>12709.206750000001</v>
      </c>
      <c r="I46" s="213"/>
      <c r="J46" s="213"/>
      <c r="K46" s="213"/>
    </row>
    <row r="47" spans="1:11" s="16" customFormat="1" ht="15" customHeight="1" x14ac:dyDescent="0.2">
      <c r="A47" s="242" t="s">
        <v>105</v>
      </c>
      <c r="B47" s="223">
        <f>SUM(D47:H47)</f>
        <v>7944181.01819205</v>
      </c>
      <c r="C47" s="256"/>
      <c r="D47" s="428">
        <f>IF(ISNUMBER(SUM(D48:D51)),SUM(D48:D51),"n.a.")</f>
        <v>1349532.6261825401</v>
      </c>
      <c r="E47" s="429">
        <f t="shared" ref="E47:H47" si="17">IF(ISNUMBER(SUM(E48:E51)),SUM(E48:E51),"n.a.")</f>
        <v>1739723.1364944726</v>
      </c>
      <c r="F47" s="429">
        <f t="shared" si="17"/>
        <v>2067885.0534615708</v>
      </c>
      <c r="G47" s="429">
        <f t="shared" si="17"/>
        <v>1571302.6639832661</v>
      </c>
      <c r="H47" s="430">
        <f t="shared" si="17"/>
        <v>1215737.5380702002</v>
      </c>
      <c r="I47" s="213"/>
      <c r="J47" s="213"/>
      <c r="K47" s="213"/>
    </row>
    <row r="48" spans="1:11" s="16" customFormat="1" ht="15" customHeight="1" x14ac:dyDescent="0.2">
      <c r="A48" s="257" t="s">
        <v>98</v>
      </c>
      <c r="B48" s="258">
        <f>SUM(D48:H48)</f>
        <v>7759131.5247850493</v>
      </c>
      <c r="C48" s="270"/>
      <c r="D48" s="415">
        <f t="shared" ref="D48:H50" si="18">IF(ISNUMBER(D34+D43),D34+D43,0)</f>
        <v>1303284.24698254</v>
      </c>
      <c r="E48" s="416">
        <f t="shared" si="18"/>
        <v>1703638.3101894725</v>
      </c>
      <c r="F48" s="416">
        <f t="shared" si="18"/>
        <v>2056929.7066575708</v>
      </c>
      <c r="G48" s="416">
        <f t="shared" si="18"/>
        <v>1518860.704635266</v>
      </c>
      <c r="H48" s="279">
        <f t="shared" si="18"/>
        <v>1176418.5563202002</v>
      </c>
      <c r="I48" s="213"/>
      <c r="J48" s="213"/>
      <c r="K48" s="213"/>
    </row>
    <row r="49" spans="1:11" s="16" customFormat="1" ht="15" customHeight="1" x14ac:dyDescent="0.2">
      <c r="A49" s="259" t="s">
        <v>99</v>
      </c>
      <c r="B49" s="304">
        <f t="shared" si="16"/>
        <v>0</v>
      </c>
      <c r="C49" s="271"/>
      <c r="D49" s="417">
        <f t="shared" si="18"/>
        <v>0</v>
      </c>
      <c r="E49" s="418">
        <f t="shared" si="18"/>
        <v>0</v>
      </c>
      <c r="F49" s="418">
        <f t="shared" si="18"/>
        <v>0</v>
      </c>
      <c r="G49" s="418">
        <f t="shared" si="18"/>
        <v>0</v>
      </c>
      <c r="H49" s="283">
        <f t="shared" si="18"/>
        <v>0</v>
      </c>
      <c r="I49" s="213"/>
      <c r="J49" s="213"/>
      <c r="K49" s="213"/>
    </row>
    <row r="50" spans="1:11" s="16" customFormat="1" ht="15" customHeight="1" x14ac:dyDescent="0.2">
      <c r="A50" s="259" t="s">
        <v>100</v>
      </c>
      <c r="B50" s="304">
        <f t="shared" si="16"/>
        <v>0</v>
      </c>
      <c r="C50" s="271"/>
      <c r="D50" s="417">
        <f t="shared" si="18"/>
        <v>0</v>
      </c>
      <c r="E50" s="418">
        <f t="shared" si="18"/>
        <v>0</v>
      </c>
      <c r="F50" s="418">
        <f t="shared" si="18"/>
        <v>0</v>
      </c>
      <c r="G50" s="418">
        <f t="shared" si="18"/>
        <v>0</v>
      </c>
      <c r="H50" s="283">
        <f t="shared" si="18"/>
        <v>0</v>
      </c>
      <c r="I50" s="213"/>
      <c r="J50" s="213"/>
      <c r="K50" s="213"/>
    </row>
    <row r="51" spans="1:11" s="16" customFormat="1" ht="15" customHeight="1" x14ac:dyDescent="0.2">
      <c r="A51" s="260" t="s">
        <v>347</v>
      </c>
      <c r="B51" s="305">
        <f>SUM(D51:H51)</f>
        <v>185049.49340700009</v>
      </c>
      <c r="C51" s="272"/>
      <c r="D51" s="419">
        <f>IF(ISNUMBER(D37+D46),D37+D46,0)</f>
        <v>46248.379200000025</v>
      </c>
      <c r="E51" s="420">
        <f t="shared" ref="E51:H51" si="19">IF(ISNUMBER(E37+E46),E37+E46,0)</f>
        <v>36084.826305000017</v>
      </c>
      <c r="F51" s="420">
        <f t="shared" si="19"/>
        <v>10955.346804000006</v>
      </c>
      <c r="G51" s="420">
        <f t="shared" si="19"/>
        <v>52441.959348000033</v>
      </c>
      <c r="H51" s="285">
        <f t="shared" si="19"/>
        <v>39318.981750000021</v>
      </c>
      <c r="I51" s="213"/>
      <c r="J51" s="213"/>
      <c r="K51" s="213"/>
    </row>
    <row r="52" spans="1:11" s="16" customFormat="1" ht="15" customHeight="1" x14ac:dyDescent="0.2">
      <c r="A52" s="261" t="s">
        <v>90</v>
      </c>
      <c r="B52" s="232">
        <f>SUM(D52:H52)</f>
        <v>14340834.481807951</v>
      </c>
      <c r="C52" s="266"/>
      <c r="D52" s="428">
        <f>IF(ISNUMBER(D$23-D48-D49-D50-D51)=TRUE,D$23-D48-D49-D50-D51,"n.a.")</f>
        <v>2952205.17381746</v>
      </c>
      <c r="E52" s="429">
        <f t="shared" ref="E52:H52" si="20">IF(ISNUMBER(E$23-E48-E49-E50-E51)=TRUE,E$23-E48-E49-E50-E51,"n.a.")</f>
        <v>2965773.6635055281</v>
      </c>
      <c r="F52" s="429">
        <f t="shared" si="20"/>
        <v>902705.44653842924</v>
      </c>
      <c r="G52" s="429">
        <f t="shared" si="20"/>
        <v>2924051.9360167333</v>
      </c>
      <c r="H52" s="430">
        <f t="shared" si="20"/>
        <v>4596098.2619298007</v>
      </c>
      <c r="I52" s="213"/>
      <c r="J52" s="213"/>
      <c r="K52" s="213"/>
    </row>
    <row r="53" spans="1:11" s="16" customFormat="1" ht="15" customHeight="1" x14ac:dyDescent="0.2">
      <c r="A53" s="267" t="s">
        <v>91</v>
      </c>
      <c r="B53" s="250">
        <f t="shared" si="16"/>
        <v>0</v>
      </c>
      <c r="C53" s="268"/>
      <c r="D53" s="269">
        <f>IF(ISNUMBER(D52)=FALSE,"n.a",IF(D52&lt;0,1,0))</f>
        <v>0</v>
      </c>
      <c r="E53" s="269">
        <f t="shared" ref="E53:H53" si="21">IF(ISNUMBER(E52)=FALSE,"n.a",IF(E52&lt;0,1,0))</f>
        <v>0</v>
      </c>
      <c r="F53" s="269">
        <f t="shared" si="21"/>
        <v>0</v>
      </c>
      <c r="G53" s="269">
        <f t="shared" si="21"/>
        <v>0</v>
      </c>
      <c r="H53" s="269">
        <f t="shared" si="21"/>
        <v>0</v>
      </c>
      <c r="I53" s="213"/>
      <c r="J53" s="213"/>
      <c r="K53" s="213"/>
    </row>
    <row r="54" spans="1:11" s="16" customFormat="1" ht="15" customHeight="1" x14ac:dyDescent="0.2">
      <c r="A54" s="252"/>
      <c r="B54" s="236"/>
      <c r="C54" s="235"/>
      <c r="D54" s="253"/>
      <c r="E54" s="254"/>
      <c r="F54" s="254"/>
      <c r="G54" s="254"/>
      <c r="H54" s="254"/>
      <c r="I54" s="213"/>
      <c r="J54" s="213"/>
      <c r="K54" s="213"/>
    </row>
    <row r="55" spans="1:11" s="16" customFormat="1" ht="15" customHeight="1" x14ac:dyDescent="0.2">
      <c r="A55" s="220" t="s">
        <v>106</v>
      </c>
      <c r="B55" s="239" t="s">
        <v>79</v>
      </c>
      <c r="C55" s="235"/>
      <c r="D55" s="241" t="str">
        <f>D$8</f>
        <v>IIFS1</v>
      </c>
      <c r="E55" s="241" t="str">
        <f t="shared" ref="E55:H55" si="22">E$8</f>
        <v>IIFS2</v>
      </c>
      <c r="F55" s="241" t="str">
        <f t="shared" si="22"/>
        <v>IIFS3</v>
      </c>
      <c r="G55" s="241" t="str">
        <f t="shared" si="22"/>
        <v>IIFS4</v>
      </c>
      <c r="H55" s="241" t="str">
        <f t="shared" si="22"/>
        <v>IIFS5</v>
      </c>
      <c r="I55" s="213"/>
      <c r="J55" s="213"/>
      <c r="K55" s="213"/>
    </row>
    <row r="56" spans="1:11" s="13" customFormat="1" ht="15" customHeight="1" x14ac:dyDescent="0.2">
      <c r="A56" s="242" t="s">
        <v>107</v>
      </c>
      <c r="B56" s="243">
        <f t="shared" ref="B56:B67" si="23">SUM(D56:H56)</f>
        <v>2259393.1439226693</v>
      </c>
      <c r="C56" s="224"/>
      <c r="D56" s="415">
        <f>SUM(D57:D59)</f>
        <v>379505.29422122985</v>
      </c>
      <c r="E56" s="416">
        <f t="shared" ref="E56:H56" si="24">SUM(E57:E59)</f>
        <v>496084.99423815735</v>
      </c>
      <c r="F56" s="416">
        <f t="shared" si="24"/>
        <v>598960.44575449184</v>
      </c>
      <c r="G56" s="416">
        <f t="shared" si="24"/>
        <v>442279.32619321632</v>
      </c>
      <c r="H56" s="279">
        <f t="shared" si="24"/>
        <v>342563.08351557411</v>
      </c>
      <c r="I56" s="204"/>
      <c r="J56" s="204"/>
      <c r="K56" s="204"/>
    </row>
    <row r="57" spans="1:11" s="16" customFormat="1" ht="15" customHeight="1" x14ac:dyDescent="0.2">
      <c r="A57" s="257" t="s">
        <v>108</v>
      </c>
      <c r="B57" s="223">
        <f t="shared" si="23"/>
        <v>2259393.1439226693</v>
      </c>
      <c r="C57" s="270"/>
      <c r="D57" s="417">
        <f>+'5-Calculation'!C41</f>
        <v>379505.29422122985</v>
      </c>
      <c r="E57" s="418">
        <f>+'5-Calculation'!D41</f>
        <v>496084.99423815735</v>
      </c>
      <c r="F57" s="418">
        <f>+'5-Calculation'!E41</f>
        <v>598960.44575449184</v>
      </c>
      <c r="G57" s="418">
        <f>+'5-Calculation'!F41</f>
        <v>442279.32619321632</v>
      </c>
      <c r="H57" s="283">
        <f>+'5-Calculation'!G41</f>
        <v>342563.08351557411</v>
      </c>
      <c r="I57" s="213"/>
      <c r="J57" s="213"/>
      <c r="K57" s="213"/>
    </row>
    <row r="58" spans="1:11" s="16" customFormat="1" ht="15" customHeight="1" x14ac:dyDescent="0.2">
      <c r="A58" s="259" t="s">
        <v>109</v>
      </c>
      <c r="B58" s="281">
        <f t="shared" si="23"/>
        <v>0</v>
      </c>
      <c r="C58" s="271"/>
      <c r="D58" s="417">
        <f>+'5-Calculation'!C42</f>
        <v>0</v>
      </c>
      <c r="E58" s="418">
        <f>+'5-Calculation'!D42</f>
        <v>0</v>
      </c>
      <c r="F58" s="418">
        <f>+'5-Calculation'!E42</f>
        <v>0</v>
      </c>
      <c r="G58" s="418">
        <f>+'5-Calculation'!F42</f>
        <v>0</v>
      </c>
      <c r="H58" s="283">
        <f>+'5-Calculation'!G42</f>
        <v>0</v>
      </c>
      <c r="I58" s="213"/>
      <c r="J58" s="213"/>
      <c r="K58" s="213"/>
    </row>
    <row r="59" spans="1:11" s="16" customFormat="1" ht="15" customHeight="1" x14ac:dyDescent="0.2">
      <c r="A59" s="259" t="s">
        <v>110</v>
      </c>
      <c r="B59" s="281">
        <f t="shared" si="23"/>
        <v>0</v>
      </c>
      <c r="C59" s="271"/>
      <c r="D59" s="417" t="str">
        <f>IF(ISNUMBER(+'5-Calculation'!C43+'5-Calculation'!C44+'5-Calculation'!C45+'5-Calculation'!C46),(+'5-Calculation'!C43+'5-Calculation'!C44+'5-Calculation'!C45+'5-Calculation'!C46), "n.a")</f>
        <v>n.a</v>
      </c>
      <c r="E59" s="418" t="str">
        <f>IF(ISNUMBER(+'5-Calculation'!D43+'5-Calculation'!D44+'5-Calculation'!D45+'5-Calculation'!D46),(+'5-Calculation'!D43+'5-Calculation'!D44+'5-Calculation'!D45+'5-Calculation'!D46), "n.a")</f>
        <v>n.a</v>
      </c>
      <c r="F59" s="418" t="str">
        <f>IF(ISNUMBER(+'5-Calculation'!E43+'5-Calculation'!E44+'5-Calculation'!E45+'5-Calculation'!E46),(+'5-Calculation'!E43+'5-Calculation'!E44+'5-Calculation'!E45+'5-Calculation'!E46), "n.a")</f>
        <v>n.a</v>
      </c>
      <c r="G59" s="418" t="str">
        <f>IF(ISNUMBER(+'5-Calculation'!F43+'5-Calculation'!F44+'5-Calculation'!F45+'5-Calculation'!F46),(+'5-Calculation'!F43+'5-Calculation'!F44+'5-Calculation'!F45+'5-Calculation'!F46), "n.a")</f>
        <v>n.a</v>
      </c>
      <c r="H59" s="283" t="str">
        <f>IF(ISNUMBER(+'5-Calculation'!G43+'5-Calculation'!G44+'5-Calculation'!G45+'5-Calculation'!G46),(+'5-Calculation'!G43+'5-Calculation'!G44+'5-Calculation'!G45+'5-Calculation'!G46), "n.a")</f>
        <v>n.a</v>
      </c>
      <c r="I59" s="213"/>
      <c r="J59" s="213"/>
      <c r="K59" s="213"/>
    </row>
    <row r="60" spans="1:11" s="16" customFormat="1" ht="15" customHeight="1" x14ac:dyDescent="0.2">
      <c r="A60" s="245" t="str">
        <f>+A22</f>
        <v>Outflow of RPSIA</v>
      </c>
      <c r="B60" s="281">
        <f>SUM(D60:H60)</f>
        <v>58019.745197790064</v>
      </c>
      <c r="C60" s="272"/>
      <c r="D60" s="419">
        <f>+'5-Calculation'!C47</f>
        <v>14500.548624000014</v>
      </c>
      <c r="E60" s="420">
        <f>+'5-Calculation'!D47</f>
        <v>11313.905210850011</v>
      </c>
      <c r="F60" s="420">
        <f>+'5-Calculation'!E47</f>
        <v>3434.8995958800033</v>
      </c>
      <c r="G60" s="420">
        <f>+'5-Calculation'!F47</f>
        <v>16442.461219560017</v>
      </c>
      <c r="H60" s="285">
        <f>+'5-Calculation'!G47</f>
        <v>12327.930547500011</v>
      </c>
      <c r="I60" s="213"/>
      <c r="J60" s="213"/>
      <c r="K60" s="213"/>
    </row>
    <row r="61" spans="1:11" s="16" customFormat="1" ht="15" customHeight="1" x14ac:dyDescent="0.2">
      <c r="A61" s="242" t="s">
        <v>111</v>
      </c>
      <c r="B61" s="223">
        <f t="shared" si="23"/>
        <v>10018524.668707719</v>
      </c>
      <c r="C61" s="256"/>
      <c r="D61" s="428">
        <f>IF(ISNUMBER(SUM(D62:D64)),SUM(D62:D64),"n.a.")</f>
        <v>1682789.5412037699</v>
      </c>
      <c r="E61" s="429">
        <f t="shared" ref="E61:H61" si="25">IF(ISNUMBER(SUM(E62:E64)),SUM(E62:E64),"n.a.")</f>
        <v>2199723.3044276298</v>
      </c>
      <c r="F61" s="429">
        <f t="shared" si="25"/>
        <v>2655890.1524120625</v>
      </c>
      <c r="G61" s="429">
        <f t="shared" si="25"/>
        <v>1961140.0308284822</v>
      </c>
      <c r="H61" s="430">
        <f t="shared" si="25"/>
        <v>1518981.6398357744</v>
      </c>
      <c r="I61" s="213"/>
      <c r="J61" s="213"/>
      <c r="K61" s="213"/>
    </row>
    <row r="62" spans="1:11" s="16" customFormat="1" ht="15" customHeight="1" x14ac:dyDescent="0.2">
      <c r="A62" s="257" t="s">
        <v>98</v>
      </c>
      <c r="B62" s="258">
        <f t="shared" si="23"/>
        <v>10018524.668707719</v>
      </c>
      <c r="C62" s="270"/>
      <c r="D62" s="415">
        <f t="shared" ref="D62:H64" si="26">IF(ISNUMBER(D48+D57),D48+D57,0)</f>
        <v>1682789.5412037699</v>
      </c>
      <c r="E62" s="416">
        <f t="shared" si="26"/>
        <v>2199723.3044276298</v>
      </c>
      <c r="F62" s="416">
        <f t="shared" si="26"/>
        <v>2655890.1524120625</v>
      </c>
      <c r="G62" s="416">
        <f t="shared" si="26"/>
        <v>1961140.0308284822</v>
      </c>
      <c r="H62" s="279">
        <f t="shared" si="26"/>
        <v>1518981.6398357744</v>
      </c>
      <c r="I62" s="213"/>
      <c r="J62" s="213"/>
      <c r="K62" s="213"/>
    </row>
    <row r="63" spans="1:11" s="16" customFormat="1" ht="15" customHeight="1" x14ac:dyDescent="0.2">
      <c r="A63" s="259" t="s">
        <v>99</v>
      </c>
      <c r="B63" s="304">
        <f t="shared" si="23"/>
        <v>0</v>
      </c>
      <c r="C63" s="271"/>
      <c r="D63" s="417">
        <f t="shared" si="26"/>
        <v>0</v>
      </c>
      <c r="E63" s="418">
        <f t="shared" si="26"/>
        <v>0</v>
      </c>
      <c r="F63" s="418">
        <f t="shared" si="26"/>
        <v>0</v>
      </c>
      <c r="G63" s="418">
        <f t="shared" si="26"/>
        <v>0</v>
      </c>
      <c r="H63" s="283">
        <f t="shared" si="26"/>
        <v>0</v>
      </c>
      <c r="I63" s="213"/>
      <c r="J63" s="213"/>
      <c r="K63" s="213"/>
    </row>
    <row r="64" spans="1:11" s="16" customFormat="1" ht="15" customHeight="1" x14ac:dyDescent="0.2">
      <c r="A64" s="259" t="s">
        <v>100</v>
      </c>
      <c r="B64" s="304">
        <f t="shared" si="23"/>
        <v>0</v>
      </c>
      <c r="C64" s="271"/>
      <c r="D64" s="417">
        <f t="shared" si="26"/>
        <v>0</v>
      </c>
      <c r="E64" s="418">
        <f t="shared" si="26"/>
        <v>0</v>
      </c>
      <c r="F64" s="418">
        <f t="shared" si="26"/>
        <v>0</v>
      </c>
      <c r="G64" s="418">
        <f t="shared" si="26"/>
        <v>0</v>
      </c>
      <c r="H64" s="283">
        <f t="shared" si="26"/>
        <v>0</v>
      </c>
      <c r="I64" s="213"/>
      <c r="J64" s="213"/>
      <c r="K64" s="213"/>
    </row>
    <row r="65" spans="1:11" s="16" customFormat="1" ht="15" customHeight="1" x14ac:dyDescent="0.2">
      <c r="A65" s="260" t="str">
        <f>+A51</f>
        <v>Cumulative change of RPSIA</v>
      </c>
      <c r="B65" s="305">
        <f>SUM(D65:H65)</f>
        <v>243069.23860479015</v>
      </c>
      <c r="C65" s="272"/>
      <c r="D65" s="417">
        <f>IF(ISNUMBER(D51+D60),D51+D60,0)</f>
        <v>60748.927824000042</v>
      </c>
      <c r="E65" s="420">
        <f t="shared" ref="E65:H65" si="27">IF(ISNUMBER(E51+E60),E51+E60,0)</f>
        <v>47398.731515850028</v>
      </c>
      <c r="F65" s="420">
        <f t="shared" si="27"/>
        <v>14390.246399880009</v>
      </c>
      <c r="G65" s="420">
        <f t="shared" si="27"/>
        <v>68884.420567560053</v>
      </c>
      <c r="H65" s="285">
        <f t="shared" si="27"/>
        <v>51646.912297500035</v>
      </c>
      <c r="I65" s="213"/>
      <c r="J65" s="213"/>
      <c r="K65" s="213"/>
    </row>
    <row r="66" spans="1:11" s="16" customFormat="1" ht="15" customHeight="1" x14ac:dyDescent="0.2">
      <c r="A66" s="261" t="s">
        <v>90</v>
      </c>
      <c r="B66" s="232">
        <f t="shared" si="23"/>
        <v>12023421.592687491</v>
      </c>
      <c r="C66" s="272"/>
      <c r="D66" s="428">
        <f>IF(ISNUMBER(D$23-D62-D63-D64-D65)=TRUE,D$23-D62-D63-D64-D65,"n.a.")</f>
        <v>2558199.3309722301</v>
      </c>
      <c r="E66" s="429">
        <f>IF(ISNUMBER(E$23-E62-E63-E64-E65)=TRUE,E$23-E62-E63-E64-E65,"n.a.")</f>
        <v>2458374.764056521</v>
      </c>
      <c r="F66" s="429">
        <f t="shared" ref="F66:H66" si="28">IF(ISNUMBER(F$23-F62-F63-F64-F65)=TRUE,F$23-F62-F63-F64-F65,"n.a.")</f>
        <v>300310.10118805745</v>
      </c>
      <c r="G66" s="429">
        <f t="shared" si="28"/>
        <v>2465330.1486039571</v>
      </c>
      <c r="H66" s="430">
        <f t="shared" si="28"/>
        <v>4241207.2478667255</v>
      </c>
      <c r="I66" s="213"/>
      <c r="J66" s="213"/>
      <c r="K66" s="213"/>
    </row>
    <row r="67" spans="1:11" s="16" customFormat="1" ht="15" customHeight="1" x14ac:dyDescent="0.2">
      <c r="A67" s="267" t="s">
        <v>91</v>
      </c>
      <c r="B67" s="250">
        <f t="shared" si="23"/>
        <v>0</v>
      </c>
      <c r="C67" s="268"/>
      <c r="D67" s="269">
        <f t="shared" ref="D67:H67" si="29">IF(ISNUMBER(D66)=FALSE,"n.a",IF(D66&lt;0,1,0))</f>
        <v>0</v>
      </c>
      <c r="E67" s="431">
        <f t="shared" si="29"/>
        <v>0</v>
      </c>
      <c r="F67" s="431">
        <f t="shared" si="29"/>
        <v>0</v>
      </c>
      <c r="G67" s="431">
        <f t="shared" si="29"/>
        <v>0</v>
      </c>
      <c r="H67" s="432">
        <f t="shared" si="29"/>
        <v>0</v>
      </c>
      <c r="I67" s="213"/>
      <c r="J67" s="213"/>
      <c r="K67" s="213"/>
    </row>
    <row r="68" spans="1:11" s="16" customFormat="1" ht="15" customHeight="1" x14ac:dyDescent="0.2">
      <c r="A68" s="252"/>
      <c r="B68" s="236"/>
      <c r="C68" s="235"/>
      <c r="D68" s="253"/>
      <c r="E68" s="254"/>
      <c r="F68" s="254"/>
      <c r="G68" s="254"/>
      <c r="H68" s="254"/>
      <c r="I68" s="213"/>
      <c r="J68" s="213"/>
      <c r="K68" s="213"/>
    </row>
    <row r="69" spans="1:11" s="16" customFormat="1" ht="15" customHeight="1" x14ac:dyDescent="0.2">
      <c r="A69" s="220" t="s">
        <v>112</v>
      </c>
      <c r="B69" s="239" t="s">
        <v>79</v>
      </c>
      <c r="C69" s="235"/>
      <c r="D69" s="241" t="str">
        <f>D$8</f>
        <v>IIFS1</v>
      </c>
      <c r="E69" s="241" t="str">
        <f t="shared" ref="E69:H69" si="30">E$8</f>
        <v>IIFS2</v>
      </c>
      <c r="F69" s="241" t="str">
        <f t="shared" si="30"/>
        <v>IIFS3</v>
      </c>
      <c r="G69" s="241" t="str">
        <f t="shared" si="30"/>
        <v>IIFS4</v>
      </c>
      <c r="H69" s="241" t="str">
        <f t="shared" si="30"/>
        <v>IIFS5</v>
      </c>
      <c r="I69" s="213"/>
      <c r="J69" s="213"/>
      <c r="K69" s="213"/>
    </row>
    <row r="70" spans="1:11" s="13" customFormat="1" ht="15" customHeight="1" x14ac:dyDescent="0.2">
      <c r="A70" s="242" t="s">
        <v>113</v>
      </c>
      <c r="B70" s="243">
        <f t="shared" ref="B70:B82" si="31">SUM(D70:H70)</f>
        <v>2172540.2604356897</v>
      </c>
      <c r="C70" s="224"/>
      <c r="D70" s="428">
        <f>SUM(D71:D74)</f>
        <v>369529.25322976767</v>
      </c>
      <c r="E70" s="429">
        <f>SUM(E71:E74)</f>
        <v>475632.61193659634</v>
      </c>
      <c r="F70" s="429">
        <f t="shared" ref="F70:G70" si="32">SUM(F71:F74)</f>
        <v>564348.29179955355</v>
      </c>
      <c r="G70" s="429">
        <f t="shared" si="32"/>
        <v>430210.21992310975</v>
      </c>
      <c r="H70" s="430">
        <f>SUM(H71:H74)</f>
        <v>332819.88354666263</v>
      </c>
      <c r="I70" s="204"/>
      <c r="J70" s="204"/>
      <c r="K70" s="204"/>
    </row>
    <row r="71" spans="1:11" s="16" customFormat="1" ht="15" customHeight="1" x14ac:dyDescent="0.2">
      <c r="A71" s="244" t="s">
        <v>114</v>
      </c>
      <c r="B71" s="258">
        <f t="shared" si="31"/>
        <v>2116261.1075938335</v>
      </c>
      <c r="C71" s="270"/>
      <c r="D71" s="415">
        <f>+'5-Calculation'!C51</f>
        <v>355463.72106448765</v>
      </c>
      <c r="E71" s="416">
        <f>+'5-Calculation'!D51</f>
        <v>464658.12388207181</v>
      </c>
      <c r="F71" s="416">
        <f>+'5-Calculation'!E51</f>
        <v>561016.4391915499</v>
      </c>
      <c r="G71" s="416">
        <f>+'5-Calculation'!F51</f>
        <v>414261.03254013654</v>
      </c>
      <c r="H71" s="279">
        <f>+'5-Calculation'!G51</f>
        <v>320861.79091558763</v>
      </c>
      <c r="I71" s="213"/>
      <c r="J71" s="213"/>
      <c r="K71" s="213"/>
    </row>
    <row r="72" spans="1:11" s="16" customFormat="1" ht="15" customHeight="1" x14ac:dyDescent="0.2">
      <c r="A72" s="245" t="s">
        <v>115</v>
      </c>
      <c r="B72" s="304">
        <f t="shared" si="31"/>
        <v>0</v>
      </c>
      <c r="C72" s="271"/>
      <c r="D72" s="417">
        <f>+'5-Calculation'!C52</f>
        <v>0</v>
      </c>
      <c r="E72" s="418">
        <f>+'5-Calculation'!D52</f>
        <v>0</v>
      </c>
      <c r="F72" s="418">
        <f>+'5-Calculation'!E52</f>
        <v>0</v>
      </c>
      <c r="G72" s="418">
        <f>+'5-Calculation'!F52</f>
        <v>0</v>
      </c>
      <c r="H72" s="283">
        <f>+'5-Calculation'!G52</f>
        <v>0</v>
      </c>
      <c r="I72" s="213"/>
      <c r="J72" s="213"/>
      <c r="K72" s="213"/>
    </row>
    <row r="73" spans="1:11" s="16" customFormat="1" ht="15" customHeight="1" x14ac:dyDescent="0.2">
      <c r="A73" s="259" t="s">
        <v>116</v>
      </c>
      <c r="B73" s="304">
        <f t="shared" si="31"/>
        <v>0</v>
      </c>
      <c r="C73" s="271"/>
      <c r="D73" s="417" t="str">
        <f>+IF(ISNUMBER('5-Calculation'!C53+'5-Calculation'!C54+'5-Calculation'!C55+'5-Calculation'!C56),('5-Calculation'!C53+'5-Calculation'!C54+'5-Calculation'!C55+'5-Calculation'!C56),"n.a")</f>
        <v>n.a</v>
      </c>
      <c r="E73" s="418" t="str">
        <f>+IF(ISNUMBER('5-Calculation'!D53+'5-Calculation'!D54+'5-Calculation'!D55+'5-Calculation'!D56),('5-Calculation'!D53+'5-Calculation'!D54+'5-Calculation'!D55+'5-Calculation'!D56),"n.a")</f>
        <v>n.a</v>
      </c>
      <c r="F73" s="418" t="str">
        <f>+IF(ISNUMBER('5-Calculation'!E53+'5-Calculation'!E54+'5-Calculation'!E55+'5-Calculation'!E56),('5-Calculation'!E53+'5-Calculation'!E54+'5-Calculation'!E55+'5-Calculation'!E56),"n.a")</f>
        <v>n.a</v>
      </c>
      <c r="G73" s="418" t="str">
        <f>+IF(ISNUMBER('5-Calculation'!F53+'5-Calculation'!F54+'5-Calculation'!F55+'5-Calculation'!F56),('5-Calculation'!F53+'5-Calculation'!F54+'5-Calculation'!F55+'5-Calculation'!F56),"n.a")</f>
        <v>n.a</v>
      </c>
      <c r="H73" s="283" t="str">
        <f>+IF(ISNUMBER('5-Calculation'!G53+'5-Calculation'!G54+'5-Calculation'!G55+'5-Calculation'!G56),('5-Calculation'!G53+'5-Calculation'!G54+'5-Calculation'!G55+'5-Calculation'!G56),"n.a")</f>
        <v>n.a</v>
      </c>
      <c r="I73" s="213"/>
      <c r="J73" s="213"/>
      <c r="K73" s="213"/>
    </row>
    <row r="74" spans="1:11" s="16" customFormat="1" ht="15" customHeight="1" x14ac:dyDescent="0.2">
      <c r="A74" s="245" t="str">
        <f>+A22</f>
        <v>Outflow of RPSIA</v>
      </c>
      <c r="B74" s="304">
        <f>SUM(D74:H74)</f>
        <v>56279.152841856354</v>
      </c>
      <c r="C74" s="272"/>
      <c r="D74" s="419">
        <f>+'5-Calculation'!C57</f>
        <v>14065.532165280014</v>
      </c>
      <c r="E74" s="420">
        <f>+'5-Calculation'!D57</f>
        <v>10974.488054524511</v>
      </c>
      <c r="F74" s="420">
        <f>+'5-Calculation'!E57</f>
        <v>3331.8526080036036</v>
      </c>
      <c r="G74" s="420">
        <f>+'5-Calculation'!F57</f>
        <v>15949.187382973216</v>
      </c>
      <c r="H74" s="285">
        <f>+'5-Calculation'!G57</f>
        <v>11958.092631075013</v>
      </c>
      <c r="I74" s="213"/>
      <c r="J74" s="213"/>
      <c r="K74" s="213"/>
    </row>
    <row r="75" spans="1:11" s="16" customFormat="1" ht="15" customHeight="1" x14ac:dyDescent="0.2">
      <c r="A75" s="242" t="s">
        <v>117</v>
      </c>
      <c r="B75" s="223">
        <f t="shared" si="31"/>
        <v>12134785.776301553</v>
      </c>
      <c r="C75" s="256"/>
      <c r="D75" s="428">
        <f>IF(ISNUMBER(SUM(D76:D78)),SUM(D76:D78),"n.a.")</f>
        <v>2038253.2622682576</v>
      </c>
      <c r="E75" s="429">
        <f t="shared" ref="E75:G75" si="33">IF(ISNUMBER(SUM(E76:E78)),SUM(E76:E78),"n.a.")</f>
        <v>2664381.4283097014</v>
      </c>
      <c r="F75" s="429">
        <f t="shared" si="33"/>
        <v>3216906.5916036125</v>
      </c>
      <c r="G75" s="429">
        <f t="shared" si="33"/>
        <v>2375401.063368619</v>
      </c>
      <c r="H75" s="430">
        <f>IF(ISNUMBER(SUM(H76:H78)),SUM(H76:H78),"n.a.")</f>
        <v>1839843.4307513621</v>
      </c>
      <c r="I75" s="213"/>
      <c r="J75" s="213"/>
      <c r="K75" s="213"/>
    </row>
    <row r="76" spans="1:11" s="16" customFormat="1" ht="15" customHeight="1" x14ac:dyDescent="0.2">
      <c r="A76" s="257" t="s">
        <v>98</v>
      </c>
      <c r="B76" s="258">
        <f t="shared" si="31"/>
        <v>12134785.776301553</v>
      </c>
      <c r="C76" s="270"/>
      <c r="D76" s="415">
        <f>IF(ISNUMBER(D62+D71),D62+D71,0)</f>
        <v>2038253.2622682576</v>
      </c>
      <c r="E76" s="416">
        <f t="shared" ref="D76:H78" si="34">IF(ISNUMBER(E62+E71),E62+E71,0)</f>
        <v>2664381.4283097014</v>
      </c>
      <c r="F76" s="416">
        <f t="shared" si="34"/>
        <v>3216906.5916036125</v>
      </c>
      <c r="G76" s="416">
        <f t="shared" si="34"/>
        <v>2375401.063368619</v>
      </c>
      <c r="H76" s="279">
        <f t="shared" si="34"/>
        <v>1839843.4307513621</v>
      </c>
      <c r="I76" s="213"/>
      <c r="J76" s="213"/>
      <c r="K76" s="213"/>
    </row>
    <row r="77" spans="1:11" s="16" customFormat="1" ht="15" customHeight="1" x14ac:dyDescent="0.2">
      <c r="A77" s="259" t="s">
        <v>99</v>
      </c>
      <c r="B77" s="304">
        <f t="shared" si="31"/>
        <v>0</v>
      </c>
      <c r="C77" s="271"/>
      <c r="D77" s="417">
        <f t="shared" si="34"/>
        <v>0</v>
      </c>
      <c r="E77" s="418">
        <f t="shared" si="34"/>
        <v>0</v>
      </c>
      <c r="F77" s="418">
        <f t="shared" si="34"/>
        <v>0</v>
      </c>
      <c r="G77" s="418">
        <f t="shared" si="34"/>
        <v>0</v>
      </c>
      <c r="H77" s="283">
        <f t="shared" si="34"/>
        <v>0</v>
      </c>
      <c r="I77" s="213"/>
      <c r="J77" s="213"/>
      <c r="K77" s="213"/>
    </row>
    <row r="78" spans="1:11" s="16" customFormat="1" ht="15" customHeight="1" x14ac:dyDescent="0.2">
      <c r="A78" s="259" t="s">
        <v>100</v>
      </c>
      <c r="B78" s="304">
        <f t="shared" si="31"/>
        <v>0</v>
      </c>
      <c r="C78" s="271"/>
      <c r="D78" s="417">
        <f t="shared" si="34"/>
        <v>0</v>
      </c>
      <c r="E78" s="418">
        <f t="shared" si="34"/>
        <v>0</v>
      </c>
      <c r="F78" s="418">
        <f t="shared" si="34"/>
        <v>0</v>
      </c>
      <c r="G78" s="418">
        <f t="shared" si="34"/>
        <v>0</v>
      </c>
      <c r="H78" s="283">
        <f t="shared" si="34"/>
        <v>0</v>
      </c>
      <c r="I78" s="213"/>
      <c r="J78" s="213"/>
      <c r="K78" s="213"/>
    </row>
    <row r="79" spans="1:11" s="16" customFormat="1" ht="15" customHeight="1" x14ac:dyDescent="0.2">
      <c r="A79" s="260" t="str">
        <f>+A51</f>
        <v>Cumulative change of RPSIA</v>
      </c>
      <c r="B79" s="305">
        <f>SUM(D79:H79)</f>
        <v>299348.39144664654</v>
      </c>
      <c r="C79" s="272"/>
      <c r="D79" s="419">
        <f>IF(ISNUMBER(D65+D74),D65+D74,0)</f>
        <v>74814.459989280062</v>
      </c>
      <c r="E79" s="420">
        <f t="shared" ref="E79:H79" si="35">IF(ISNUMBER(E65+E74),E65+E74,0)</f>
        <v>58373.219570374538</v>
      </c>
      <c r="F79" s="420">
        <f t="shared" si="35"/>
        <v>17722.099007883611</v>
      </c>
      <c r="G79" s="420">
        <f t="shared" si="35"/>
        <v>84833.607950533275</v>
      </c>
      <c r="H79" s="285">
        <f t="shared" si="35"/>
        <v>63605.00492857505</v>
      </c>
      <c r="I79" s="213"/>
      <c r="J79" s="213"/>
      <c r="K79" s="213"/>
    </row>
    <row r="80" spans="1:11" s="16" customFormat="1" ht="15" customHeight="1" x14ac:dyDescent="0.2">
      <c r="A80" s="248" t="s">
        <v>90</v>
      </c>
      <c r="B80" s="232">
        <f>SUM(D80:H80)</f>
        <v>9850881.3322518021</v>
      </c>
      <c r="C80" s="233"/>
      <c r="D80" s="428">
        <f>IF(ISNUMBER(D$23-D76-D77-D78-D79)=TRUE,D$23-D76-D77-D78-D79,"n.a.")</f>
        <v>2188670.0777424625</v>
      </c>
      <c r="E80" s="429">
        <f t="shared" ref="E80:H80" si="36">IF(ISNUMBER(E$23-E76-E77-E78-E79)=TRUE,E$23-E76-E77-E78-E79,"n.a.")</f>
        <v>1982742.1521199248</v>
      </c>
      <c r="F80" s="429">
        <f t="shared" si="36"/>
        <v>-264038.19061149616</v>
      </c>
      <c r="G80" s="429">
        <f t="shared" si="36"/>
        <v>2035119.9286808474</v>
      </c>
      <c r="H80" s="430">
        <f t="shared" si="36"/>
        <v>3908387.364320064</v>
      </c>
      <c r="I80" s="213"/>
      <c r="J80" s="213"/>
      <c r="K80" s="213"/>
    </row>
    <row r="81" spans="1:11" s="16" customFormat="1" ht="15" customHeight="1" x14ac:dyDescent="0.2">
      <c r="A81" s="267" t="s">
        <v>91</v>
      </c>
      <c r="B81" s="273">
        <f t="shared" si="31"/>
        <v>1</v>
      </c>
      <c r="C81" s="268"/>
      <c r="D81" s="269">
        <f>IF(ISNUMBER(D80)=FALSE,"n.a",IF(D80&lt;0,1,0))</f>
        <v>0</v>
      </c>
      <c r="E81" s="431">
        <f t="shared" ref="E81:H81" si="37">IF(ISNUMBER(E80)=FALSE,"n.a",IF(E80&lt;0,1,0))</f>
        <v>0</v>
      </c>
      <c r="F81" s="431">
        <f t="shared" si="37"/>
        <v>1</v>
      </c>
      <c r="G81" s="431">
        <f t="shared" si="37"/>
        <v>0</v>
      </c>
      <c r="H81" s="432">
        <f t="shared" si="37"/>
        <v>0</v>
      </c>
      <c r="I81" s="213"/>
      <c r="J81" s="213"/>
      <c r="K81" s="213"/>
    </row>
    <row r="82" spans="1:11" s="16" customFormat="1" ht="15" customHeight="1" x14ac:dyDescent="0.2">
      <c r="A82" s="267" t="s">
        <v>118</v>
      </c>
      <c r="B82" s="273">
        <f t="shared" si="31"/>
        <v>-264038.19061149616</v>
      </c>
      <c r="C82" s="235"/>
      <c r="D82" s="437">
        <f>IF(D81=1,D80,0)</f>
        <v>0</v>
      </c>
      <c r="E82" s="438">
        <f t="shared" ref="E82:H82" si="38">IF(E81=1,E80,0)</f>
        <v>0</v>
      </c>
      <c r="F82" s="438">
        <f t="shared" si="38"/>
        <v>-264038.19061149616</v>
      </c>
      <c r="G82" s="438">
        <f t="shared" si="38"/>
        <v>0</v>
      </c>
      <c r="H82" s="439">
        <f t="shared" si="38"/>
        <v>0</v>
      </c>
      <c r="I82" s="213"/>
      <c r="J82" s="213"/>
      <c r="K82" s="213"/>
    </row>
    <row r="83" spans="1:11" s="16" customFormat="1" ht="15" customHeight="1" x14ac:dyDescent="0.2">
      <c r="A83" s="252"/>
      <c r="B83" s="236"/>
      <c r="C83" s="235"/>
      <c r="D83" s="274"/>
      <c r="E83" s="275"/>
      <c r="F83" s="275"/>
      <c r="G83" s="275"/>
      <c r="H83" s="275"/>
      <c r="I83" s="213"/>
      <c r="J83" s="213"/>
      <c r="K83" s="213"/>
    </row>
    <row r="84" spans="1:11" s="15" customFormat="1" ht="15" customHeight="1" x14ac:dyDescent="0.25">
      <c r="A84" s="447" t="s">
        <v>323</v>
      </c>
      <c r="B84" s="445"/>
      <c r="C84" s="446"/>
      <c r="D84" s="446"/>
      <c r="E84" s="446"/>
      <c r="F84" s="446"/>
      <c r="G84" s="446"/>
      <c r="H84" s="446"/>
      <c r="I84" s="240"/>
      <c r="J84" s="240"/>
      <c r="K84" s="240"/>
    </row>
    <row r="85" spans="1:11" s="16" customFormat="1" ht="15" customHeight="1" x14ac:dyDescent="0.2">
      <c r="A85" s="217"/>
      <c r="B85" s="218"/>
      <c r="C85" s="217"/>
      <c r="D85" s="219"/>
      <c r="E85" s="219"/>
      <c r="F85" s="219"/>
      <c r="G85" s="219"/>
      <c r="H85" s="219"/>
      <c r="I85" s="213"/>
      <c r="J85" s="213"/>
      <c r="K85" s="213"/>
    </row>
    <row r="86" spans="1:11" s="16" customFormat="1" ht="15" customHeight="1" x14ac:dyDescent="0.2">
      <c r="A86" s="276" t="s">
        <v>80</v>
      </c>
      <c r="B86" s="239" t="s">
        <v>79</v>
      </c>
      <c r="C86" s="221"/>
      <c r="D86" s="241" t="str">
        <f>D$8</f>
        <v>IIFS1</v>
      </c>
      <c r="E86" s="241" t="str">
        <f t="shared" ref="E86:H86" si="39">E$8</f>
        <v>IIFS2</v>
      </c>
      <c r="F86" s="241" t="str">
        <f t="shared" si="39"/>
        <v>IIFS3</v>
      </c>
      <c r="G86" s="241" t="str">
        <f t="shared" si="39"/>
        <v>IIFS4</v>
      </c>
      <c r="H86" s="241" t="str">
        <f t="shared" si="39"/>
        <v>IIFS5</v>
      </c>
      <c r="I86" s="213"/>
      <c r="J86" s="213"/>
      <c r="K86" s="213"/>
    </row>
    <row r="87" spans="1:11" s="16" customFormat="1" ht="15" customHeight="1" x14ac:dyDescent="0.2">
      <c r="A87" s="242" t="s">
        <v>81</v>
      </c>
      <c r="B87" s="277">
        <f>SUM(D87:H87)</f>
        <v>51614202.708443768</v>
      </c>
      <c r="C87" s="278"/>
      <c r="D87" s="415">
        <f>D11</f>
        <v>8669524.0434581805</v>
      </c>
      <c r="E87" s="416">
        <f t="shared" ref="E87:H87" si="40">E11</f>
        <v>11332702.996863559</v>
      </c>
      <c r="F87" s="416">
        <f t="shared" si="40"/>
        <v>13682818.30219198</v>
      </c>
      <c r="G87" s="416">
        <f t="shared" si="40"/>
        <v>10103551.414809421</v>
      </c>
      <c r="H87" s="279">
        <f t="shared" si="40"/>
        <v>7825605.9511206308</v>
      </c>
      <c r="I87" s="213"/>
      <c r="J87" s="213"/>
      <c r="K87" s="213"/>
    </row>
    <row r="88" spans="1:11" s="16" customFormat="1" ht="15" customHeight="1" x14ac:dyDescent="0.2">
      <c r="A88" s="280" t="s">
        <v>119</v>
      </c>
      <c r="B88" s="281">
        <f>SUM(D88:H88)</f>
        <v>22285015.5</v>
      </c>
      <c r="C88" s="282"/>
      <c r="D88" s="417">
        <f>(SUMPRODUCT('2-Input - IIFS Liqudity'!I91:I103,'3-Assumptions'!$H$67:$H$79))</f>
        <v>4301737.8</v>
      </c>
      <c r="E88" s="418">
        <f>(SUMPRODUCT('2-Input - IIFS Liqudity'!J91:J103,'3-Assumptions'!$H$67:$H$79))</f>
        <v>4705496.8000000007</v>
      </c>
      <c r="F88" s="418">
        <f>(SUMPRODUCT('2-Input - IIFS Liqudity'!K91:K103,'3-Assumptions'!$H$67:$H$79))</f>
        <v>2970590.5</v>
      </c>
      <c r="G88" s="418">
        <f>(SUMPRODUCT('2-Input - IIFS Liqudity'!L91:L103,'3-Assumptions'!$H$67:$H$79))</f>
        <v>4495354.5999999996</v>
      </c>
      <c r="H88" s="283">
        <f>(SUMPRODUCT('2-Input - IIFS Liqudity'!M91:M103,'3-Assumptions'!$H$67:$H$79))</f>
        <v>5811835.8000000007</v>
      </c>
      <c r="I88" s="213"/>
      <c r="J88" s="213"/>
      <c r="K88" s="213"/>
    </row>
    <row r="89" spans="1:11" s="16" customFormat="1" ht="15" customHeight="1" x14ac:dyDescent="0.2">
      <c r="A89" s="248" t="s">
        <v>120</v>
      </c>
      <c r="B89" s="273">
        <f>SUM(D89:H89)</f>
        <v>59799118.873911291</v>
      </c>
      <c r="C89" s="284"/>
      <c r="D89" s="419">
        <f>'2-Input - IIFS Liqudity'!I15-D88</f>
        <v>12547590.840699401</v>
      </c>
      <c r="E89" s="420">
        <f>'2-Input - IIFS Liqudity'!J15-E88</f>
        <v>11840399.920588199</v>
      </c>
      <c r="F89" s="420">
        <f>'2-Input - IIFS Liqudity'!K15-F88</f>
        <v>12976711.5410292</v>
      </c>
      <c r="G89" s="420">
        <f>'2-Input - IIFS Liqudity'!L15-G88</f>
        <v>11951803.182196999</v>
      </c>
      <c r="H89" s="285">
        <f>'2-Input - IIFS Liqudity'!M15-H88</f>
        <v>10482613.389397498</v>
      </c>
      <c r="I89" s="213"/>
      <c r="J89" s="213"/>
      <c r="K89" s="213"/>
    </row>
    <row r="90" spans="1:11" s="16" customFormat="1" ht="15" customHeight="1" x14ac:dyDescent="0.2">
      <c r="A90" s="235"/>
      <c r="B90" s="236"/>
      <c r="C90" s="235"/>
      <c r="D90" s="274"/>
      <c r="E90" s="275"/>
      <c r="F90" s="275"/>
      <c r="G90" s="275"/>
      <c r="H90" s="275"/>
      <c r="I90" s="213"/>
      <c r="J90" s="213"/>
      <c r="K90" s="213"/>
    </row>
    <row r="91" spans="1:11" s="16" customFormat="1" ht="15" customHeight="1" x14ac:dyDescent="0.2">
      <c r="A91" s="286" t="s">
        <v>121</v>
      </c>
      <c r="B91" s="239" t="s">
        <v>79</v>
      </c>
      <c r="C91" s="235"/>
      <c r="D91" s="241" t="str">
        <f>D$8</f>
        <v>IIFS1</v>
      </c>
      <c r="E91" s="241" t="str">
        <f t="shared" ref="E91:H91" si="41">E$8</f>
        <v>IIFS2</v>
      </c>
      <c r="F91" s="241" t="str">
        <f t="shared" si="41"/>
        <v>IIFS3</v>
      </c>
      <c r="G91" s="241" t="str">
        <f t="shared" si="41"/>
        <v>IIFS4</v>
      </c>
      <c r="H91" s="241" t="str">
        <f t="shared" si="41"/>
        <v>IIFS5</v>
      </c>
      <c r="I91" s="213"/>
      <c r="J91" s="213"/>
      <c r="K91" s="213"/>
    </row>
    <row r="92" spans="1:11" s="16" customFormat="1" ht="15" customHeight="1" x14ac:dyDescent="0.2">
      <c r="A92" s="242" t="s">
        <v>85</v>
      </c>
      <c r="B92" s="281">
        <f t="shared" ref="B92:B100" si="42">SUM(D92:H92)</f>
        <v>3734400.0483990158</v>
      </c>
      <c r="C92" s="204"/>
      <c r="D92" s="428">
        <f t="shared" ref="D92:G92" si="43">SUM(D93:D96)</f>
        <v>627258.95797263237</v>
      </c>
      <c r="E92" s="429">
        <f t="shared" si="43"/>
        <v>819945.75909734063</v>
      </c>
      <c r="F92" s="429">
        <f t="shared" si="43"/>
        <v>989981.7230264314</v>
      </c>
      <c r="G92" s="429">
        <f t="shared" si="43"/>
        <v>731013.96345494129</v>
      </c>
      <c r="H92" s="430">
        <f>SUM(H93:H96)</f>
        <v>566199.64484766999</v>
      </c>
      <c r="I92" s="213"/>
      <c r="J92" s="213"/>
      <c r="K92" s="213"/>
    </row>
    <row r="93" spans="1:11" s="16" customFormat="1" ht="15" customHeight="1" x14ac:dyDescent="0.2">
      <c r="A93" s="257" t="s">
        <v>86</v>
      </c>
      <c r="B93" s="258">
        <f t="shared" si="42"/>
        <v>3734400.0483990158</v>
      </c>
      <c r="C93" s="421"/>
      <c r="D93" s="415">
        <f>+'5-Calculation'!C65</f>
        <v>627258.95797263237</v>
      </c>
      <c r="E93" s="416">
        <f>+'5-Calculation'!D65</f>
        <v>819945.75909734063</v>
      </c>
      <c r="F93" s="416">
        <f>+'5-Calculation'!E65</f>
        <v>989981.7230264314</v>
      </c>
      <c r="G93" s="416">
        <f>+'5-Calculation'!F65</f>
        <v>731013.96345494129</v>
      </c>
      <c r="H93" s="279">
        <f>+'5-Calculation'!G65</f>
        <v>566199.64484766999</v>
      </c>
      <c r="I93" s="213"/>
      <c r="J93" s="213"/>
      <c r="K93" s="213"/>
    </row>
    <row r="94" spans="1:11" s="16" customFormat="1" ht="15" customHeight="1" x14ac:dyDescent="0.2">
      <c r="A94" s="259" t="s">
        <v>122</v>
      </c>
      <c r="B94" s="304">
        <f t="shared" si="42"/>
        <v>0</v>
      </c>
      <c r="C94" s="422"/>
      <c r="D94" s="417">
        <f>+'5-Calculation'!C66</f>
        <v>0</v>
      </c>
      <c r="E94" s="418">
        <f>+'5-Calculation'!D66</f>
        <v>0</v>
      </c>
      <c r="F94" s="418">
        <f>+'5-Calculation'!E66</f>
        <v>0</v>
      </c>
      <c r="G94" s="418">
        <f>+'5-Calculation'!F66</f>
        <v>0</v>
      </c>
      <c r="H94" s="283">
        <f>+'5-Calculation'!G66</f>
        <v>0</v>
      </c>
      <c r="I94" s="213"/>
      <c r="J94" s="213"/>
      <c r="K94" s="213"/>
    </row>
    <row r="95" spans="1:11" s="16" customFormat="1" ht="15" customHeight="1" x14ac:dyDescent="0.2">
      <c r="A95" s="259" t="s">
        <v>88</v>
      </c>
      <c r="B95" s="304">
        <f t="shared" si="42"/>
        <v>0</v>
      </c>
      <c r="C95" s="422"/>
      <c r="D95" s="417" t="str">
        <f>IF(ISNUMBER('5-Calculation'!C67+'5-Calculation'!C68+'5-Calculation'!C69+'5-Calculation'!C70),('5-Calculation'!C67+'5-Calculation'!C68+'5-Calculation'!C69+'5-Calculation'!C70),"n.a")</f>
        <v>n.a</v>
      </c>
      <c r="E95" s="418" t="str">
        <f>IF(ISNUMBER('5-Calculation'!D67+'5-Calculation'!D68+'5-Calculation'!D69+'5-Calculation'!D70),('5-Calculation'!D67+'5-Calculation'!D68+'5-Calculation'!D69+'5-Calculation'!D70),"n.a")</f>
        <v>n.a</v>
      </c>
      <c r="F95" s="418" t="str">
        <f>IF(ISNUMBER('5-Calculation'!E67+'5-Calculation'!E68+'5-Calculation'!E69+'5-Calculation'!E70),('5-Calculation'!E67+'5-Calculation'!E68+'5-Calculation'!E69+'5-Calculation'!E70),"n.a")</f>
        <v>n.a</v>
      </c>
      <c r="G95" s="418" t="str">
        <f>IF(ISNUMBER('5-Calculation'!F67+'5-Calculation'!F68+'5-Calculation'!F69+'5-Calculation'!F70),('5-Calculation'!F67+'5-Calculation'!F68+'5-Calculation'!F69+'5-Calculation'!F70),"n.a")</f>
        <v>n.a</v>
      </c>
      <c r="H95" s="283" t="str">
        <f>IF(ISNUMBER('5-Calculation'!G67+'5-Calculation'!G68+'5-Calculation'!G69+'5-Calculation'!G70),('5-Calculation'!G67+'5-Calculation'!G68+'5-Calculation'!G69+'5-Calculation'!G70),"n.a")</f>
        <v>n.a</v>
      </c>
      <c r="I95" s="213"/>
      <c r="J95" s="213"/>
      <c r="K95" s="213"/>
    </row>
    <row r="96" spans="1:11" s="16" customFormat="1" ht="15" customHeight="1" x14ac:dyDescent="0.2">
      <c r="A96" s="260" t="s">
        <v>346</v>
      </c>
      <c r="B96" s="305"/>
      <c r="C96" s="423"/>
      <c r="D96" s="419">
        <f>+'5-Calculation'!B71</f>
        <v>0</v>
      </c>
      <c r="E96" s="420">
        <f>+'5-Calculation'!C71</f>
        <v>0</v>
      </c>
      <c r="F96" s="420">
        <f>+'5-Calculation'!D71</f>
        <v>0</v>
      </c>
      <c r="G96" s="420">
        <f>+'5-Calculation'!E71</f>
        <v>0</v>
      </c>
      <c r="H96" s="285">
        <f>+'5-Calculation'!F71</f>
        <v>0</v>
      </c>
      <c r="I96" s="213"/>
      <c r="J96" s="213"/>
      <c r="K96" s="213"/>
    </row>
    <row r="97" spans="1:11" s="16" customFormat="1" ht="15" customHeight="1" x14ac:dyDescent="0.2">
      <c r="A97" s="246" t="s">
        <v>89</v>
      </c>
      <c r="B97" s="281">
        <f t="shared" si="42"/>
        <v>20860152</v>
      </c>
      <c r="C97" s="278"/>
      <c r="D97" s="428">
        <v>3726057.3</v>
      </c>
      <c r="E97" s="429">
        <v>4656903.3000000007</v>
      </c>
      <c r="F97" s="429">
        <v>2732853</v>
      </c>
      <c r="G97" s="429">
        <v>4003228.6</v>
      </c>
      <c r="H97" s="430">
        <v>5741109.8000000007</v>
      </c>
      <c r="I97" s="213"/>
      <c r="J97" s="213"/>
      <c r="K97" s="213"/>
    </row>
    <row r="98" spans="1:11" s="16" customFormat="1" ht="15" customHeight="1" x14ac:dyDescent="0.2">
      <c r="A98" s="248" t="s">
        <v>90</v>
      </c>
      <c r="B98" s="287">
        <f t="shared" si="42"/>
        <v>17125751.951600984</v>
      </c>
      <c r="C98" s="288"/>
      <c r="D98" s="428">
        <f>IF(ISNUMBER(D97-D92)=TRUE,D97-D92,"n.a.")</f>
        <v>3098798.3420273676</v>
      </c>
      <c r="E98" s="429">
        <f t="shared" ref="E98:H98" si="44">IF(ISNUMBER(E97-E92)=TRUE,E97-E92,"n.a.")</f>
        <v>3836957.5409026602</v>
      </c>
      <c r="F98" s="429">
        <f t="shared" si="44"/>
        <v>1742871.2769735686</v>
      </c>
      <c r="G98" s="429">
        <f t="shared" si="44"/>
        <v>3272214.6365450588</v>
      </c>
      <c r="H98" s="430">
        <f t="shared" si="44"/>
        <v>5174910.1551523311</v>
      </c>
      <c r="I98" s="213"/>
      <c r="J98" s="213"/>
      <c r="K98" s="213"/>
    </row>
    <row r="99" spans="1:11" s="16" customFormat="1" ht="15" customHeight="1" x14ac:dyDescent="0.2">
      <c r="A99" s="263" t="s">
        <v>91</v>
      </c>
      <c r="B99" s="273">
        <f t="shared" si="42"/>
        <v>0</v>
      </c>
      <c r="C99" s="251"/>
      <c r="D99" s="269">
        <f t="shared" ref="D99:H99" si="45">IF(ISNUMBER(D98)=FALSE,"n.a",IF(D98&lt;0,1,0))</f>
        <v>0</v>
      </c>
      <c r="E99" s="431">
        <f t="shared" si="45"/>
        <v>0</v>
      </c>
      <c r="F99" s="431">
        <f t="shared" si="45"/>
        <v>0</v>
      </c>
      <c r="G99" s="431">
        <f t="shared" si="45"/>
        <v>0</v>
      </c>
      <c r="H99" s="432">
        <f t="shared" si="45"/>
        <v>0</v>
      </c>
      <c r="I99" s="213"/>
      <c r="J99" s="213"/>
      <c r="K99" s="213"/>
    </row>
    <row r="100" spans="1:11" s="16" customFormat="1" ht="15" customHeight="1" x14ac:dyDescent="0.2">
      <c r="A100" s="267" t="s">
        <v>118</v>
      </c>
      <c r="B100" s="273">
        <f t="shared" si="42"/>
        <v>0</v>
      </c>
      <c r="C100" s="289"/>
      <c r="D100" s="437">
        <f>IF(D99=1,D98,0)</f>
        <v>0</v>
      </c>
      <c r="E100" s="438">
        <f t="shared" ref="E100:H100" si="46">IF(E99=1,E98,0)</f>
        <v>0</v>
      </c>
      <c r="F100" s="438">
        <f t="shared" si="46"/>
        <v>0</v>
      </c>
      <c r="G100" s="438">
        <f t="shared" si="46"/>
        <v>0</v>
      </c>
      <c r="H100" s="439">
        <f t="shared" si="46"/>
        <v>0</v>
      </c>
      <c r="I100" s="213"/>
      <c r="J100" s="213"/>
      <c r="K100" s="213"/>
    </row>
    <row r="101" spans="1:11" s="16" customFormat="1" ht="15" customHeight="1" x14ac:dyDescent="0.2">
      <c r="A101" s="289"/>
      <c r="B101" s="290"/>
      <c r="C101" s="289"/>
      <c r="D101" s="291"/>
      <c r="E101" s="291"/>
      <c r="F101" s="291"/>
      <c r="G101" s="291"/>
      <c r="H101" s="291"/>
      <c r="I101" s="213"/>
      <c r="J101" s="213"/>
      <c r="K101" s="213"/>
    </row>
    <row r="102" spans="1:11" s="15" customFormat="1" ht="15" customHeight="1" x14ac:dyDescent="0.25">
      <c r="A102" s="447" t="s">
        <v>325</v>
      </c>
      <c r="B102" s="448"/>
      <c r="C102" s="449"/>
      <c r="D102" s="449"/>
      <c r="E102" s="449"/>
      <c r="F102" s="449"/>
      <c r="G102" s="449"/>
      <c r="H102" s="449"/>
      <c r="I102" s="240"/>
      <c r="J102" s="240"/>
      <c r="K102" s="240"/>
    </row>
    <row r="103" spans="1:11" s="16" customFormat="1" ht="15" customHeight="1" x14ac:dyDescent="0.2">
      <c r="A103" s="292"/>
      <c r="B103" s="239" t="s">
        <v>79</v>
      </c>
      <c r="C103" s="217"/>
      <c r="D103" s="241" t="str">
        <f>D$8</f>
        <v>IIFS1</v>
      </c>
      <c r="E103" s="241" t="str">
        <f t="shared" ref="E103:H103" si="47">E$8</f>
        <v>IIFS2</v>
      </c>
      <c r="F103" s="241" t="str">
        <f t="shared" si="47"/>
        <v>IIFS3</v>
      </c>
      <c r="G103" s="241" t="str">
        <f t="shared" si="47"/>
        <v>IIFS4</v>
      </c>
      <c r="H103" s="241" t="str">
        <f t="shared" si="47"/>
        <v>IIFS5</v>
      </c>
      <c r="I103" s="213"/>
      <c r="J103" s="213"/>
      <c r="K103" s="213"/>
    </row>
    <row r="104" spans="1:11" x14ac:dyDescent="0.2">
      <c r="A104" s="929" t="s">
        <v>357</v>
      </c>
      <c r="B104" s="930"/>
    </row>
    <row r="105" spans="1:11" ht="15" customHeight="1" x14ac:dyDescent="0.2">
      <c r="A105" s="220" t="s">
        <v>124</v>
      </c>
      <c r="B105" s="287">
        <f>SUM(D105:H105)</f>
        <v>82084134.373911291</v>
      </c>
      <c r="C105" s="293"/>
      <c r="D105" s="294">
        <f>+'2-Input - IIFS Liqudity'!I15</f>
        <v>16849328.640699401</v>
      </c>
      <c r="E105" s="440">
        <f>+'2-Input - IIFS Liqudity'!J15</f>
        <v>16545896.7205882</v>
      </c>
      <c r="F105" s="440">
        <f>+'2-Input - IIFS Liqudity'!K15</f>
        <v>15947302.0410292</v>
      </c>
      <c r="G105" s="440">
        <f>+'2-Input - IIFS Liqudity'!L15</f>
        <v>16447157.782196999</v>
      </c>
      <c r="H105" s="441">
        <f>+'2-Input - IIFS Liqudity'!M15</f>
        <v>16294449.189397499</v>
      </c>
    </row>
    <row r="106" spans="1:11" ht="15" customHeight="1" x14ac:dyDescent="0.2">
      <c r="A106" s="220" t="s">
        <v>125</v>
      </c>
      <c r="C106" s="202"/>
      <c r="D106" s="202"/>
      <c r="E106" s="202"/>
      <c r="F106" s="202"/>
      <c r="G106" s="202"/>
      <c r="H106" s="202"/>
    </row>
    <row r="107" spans="1:11" s="17" customFormat="1" x14ac:dyDescent="0.2">
      <c r="A107" s="489" t="s">
        <v>352</v>
      </c>
      <c r="B107" s="302">
        <f>SUM(D107:H107)</f>
        <v>25182748</v>
      </c>
      <c r="C107" s="224"/>
      <c r="D107" s="479">
        <f>+'5-Calculation'!C133</f>
        <v>3489676</v>
      </c>
      <c r="E107" s="480">
        <f>+'5-Calculation'!D133</f>
        <v>5942767</v>
      </c>
      <c r="F107" s="480">
        <f>+'5-Calculation'!E133</f>
        <v>4481752</v>
      </c>
      <c r="G107" s="480">
        <f>+'5-Calculation'!F133</f>
        <v>5080913</v>
      </c>
      <c r="H107" s="481">
        <f>+'5-Calculation'!G133</f>
        <v>6187640</v>
      </c>
      <c r="I107" s="201"/>
      <c r="J107" s="201"/>
      <c r="K107" s="201"/>
    </row>
    <row r="108" spans="1:11" s="17" customFormat="1" x14ac:dyDescent="0.2">
      <c r="A108" s="485" t="s">
        <v>355</v>
      </c>
      <c r="B108" s="490">
        <f>SUM(D108:H108)</f>
        <v>269920.3</v>
      </c>
      <c r="C108" s="228"/>
      <c r="D108" s="486">
        <f>+'5-Calculation'!C139</f>
        <v>233750.25</v>
      </c>
      <c r="E108" s="487">
        <f>+'5-Calculation'!D139</f>
        <v>0</v>
      </c>
      <c r="F108" s="487">
        <f>+'5-Calculation'!E139</f>
        <v>36170.049999999996</v>
      </c>
      <c r="G108" s="487">
        <f>+'5-Calculation'!F139</f>
        <v>0</v>
      </c>
      <c r="H108" s="488">
        <f>+'5-Calculation'!G139</f>
        <v>0</v>
      </c>
      <c r="I108" s="295"/>
      <c r="J108" s="201"/>
      <c r="K108" s="201"/>
    </row>
    <row r="109" spans="1:11" s="17" customFormat="1" x14ac:dyDescent="0.2">
      <c r="A109" s="485" t="s">
        <v>356</v>
      </c>
      <c r="B109" s="491">
        <f>SUM(D109:H109)</f>
        <v>0</v>
      </c>
      <c r="C109" s="228"/>
      <c r="D109" s="482">
        <f>+'2-Input - IIFS Liqudity'!I112</f>
        <v>0</v>
      </c>
      <c r="E109" s="483">
        <f>+'2-Input - IIFS Liqudity'!J112</f>
        <v>0</v>
      </c>
      <c r="F109" s="483">
        <f>+'2-Input - IIFS Liqudity'!K112</f>
        <v>0</v>
      </c>
      <c r="G109" s="483">
        <f>+'2-Input - IIFS Liqudity'!L112</f>
        <v>0</v>
      </c>
      <c r="H109" s="484">
        <f>+'2-Input - IIFS Liqudity'!M112</f>
        <v>0</v>
      </c>
      <c r="I109" s="295"/>
      <c r="J109" s="201"/>
      <c r="K109" s="201"/>
    </row>
    <row r="110" spans="1:11" s="17" customFormat="1" ht="15" customHeight="1" x14ac:dyDescent="0.25">
      <c r="A110" s="296" t="s">
        <v>126</v>
      </c>
      <c r="B110" s="287">
        <f>SUM(D110:H110)</f>
        <v>25452668.300000001</v>
      </c>
      <c r="C110" s="297"/>
      <c r="D110" s="626">
        <f>+IF((0.4*(D108+D107)&gt;D108),D108+D107+D109,D107*1.4+D109)</f>
        <v>3723426.25</v>
      </c>
      <c r="E110" s="627">
        <f>+IF((0.4*(E108+E107)&gt;E108),E108+E107+E109,E107*1.4+E109)</f>
        <v>5942767</v>
      </c>
      <c r="F110" s="627">
        <f t="shared" ref="F110:H110" si="48">+IF((0.4*(F108+F107)&gt;F108),F108+F107+F109,F107*1.4+F109)</f>
        <v>4517922.05</v>
      </c>
      <c r="G110" s="627">
        <f t="shared" si="48"/>
        <v>5080913</v>
      </c>
      <c r="H110" s="628">
        <f t="shared" si="48"/>
        <v>6187640</v>
      </c>
      <c r="I110" s="201"/>
      <c r="J110" s="201"/>
      <c r="K110" s="201"/>
    </row>
    <row r="111" spans="1:11" s="17" customFormat="1" ht="15" customHeight="1" x14ac:dyDescent="0.2">
      <c r="A111" s="296" t="s">
        <v>127</v>
      </c>
      <c r="B111" s="298">
        <f>B110/B105</f>
        <v>0.31008024259666911</v>
      </c>
      <c r="C111" s="299"/>
      <c r="D111" s="442">
        <f>IF(ISNUMBER(D110/D105),D110/D105,"n.a")</f>
        <v>0.22098365634617023</v>
      </c>
      <c r="E111" s="443">
        <f>IF(ISNUMBER(E110/E105),E110/E105,"n.a")</f>
        <v>0.35916862653961601</v>
      </c>
      <c r="F111" s="443">
        <f>IF(ISNUMBER(F110/F105),F110/F105,"n.a")</f>
        <v>0.28330322197298924</v>
      </c>
      <c r="G111" s="443">
        <f>IF(ISNUMBER(G110/G105),G110/G105,"n.a")</f>
        <v>0.30892346673415905</v>
      </c>
      <c r="H111" s="444">
        <f>IF(ISNUMBER(H110/H105),H110/H105,"n.a")</f>
        <v>0.3797391325155185</v>
      </c>
      <c r="I111" s="201"/>
      <c r="J111" s="201"/>
      <c r="K111" s="201"/>
    </row>
    <row r="112" spans="1:11" ht="15" customHeight="1" x14ac:dyDescent="0.2"/>
    <row r="113" spans="1:11" ht="15" customHeight="1" x14ac:dyDescent="0.2">
      <c r="A113" s="220" t="s">
        <v>128</v>
      </c>
      <c r="B113" s="300" t="s">
        <v>79</v>
      </c>
      <c r="D113" s="301" t="str">
        <f>D$8</f>
        <v>IIFS1</v>
      </c>
      <c r="E113" s="301" t="str">
        <f t="shared" ref="E113:H113" si="49">E$8</f>
        <v>IIFS2</v>
      </c>
      <c r="F113" s="301" t="str">
        <f t="shared" si="49"/>
        <v>IIFS3</v>
      </c>
      <c r="G113" s="301" t="str">
        <f t="shared" si="49"/>
        <v>IIFS4</v>
      </c>
      <c r="H113" s="301" t="str">
        <f t="shared" si="49"/>
        <v>IIFS5</v>
      </c>
    </row>
    <row r="114" spans="1:11" ht="15" customHeight="1" x14ac:dyDescent="0.2">
      <c r="A114" s="513" t="s">
        <v>329</v>
      </c>
      <c r="B114" s="302">
        <f t="shared" ref="B114:B117" si="50">IF(ISNUMBER(SUM(D114:H114)),SUM(D114:H114),"n.a.")</f>
        <v>2053848.7828559638</v>
      </c>
      <c r="C114" s="303"/>
      <c r="D114" s="492">
        <f>+'5-Calculation'!C150</f>
        <v>346568.25614674174</v>
      </c>
      <c r="E114" s="493">
        <f>+'5-Calculation'!D150</f>
        <v>503484.20503063226</v>
      </c>
      <c r="F114" s="493">
        <f>+'5-Calculation'!E150</f>
        <v>526307.97611836693</v>
      </c>
      <c r="G114" s="493">
        <f>+'5-Calculation'!F150</f>
        <v>442563.63559970871</v>
      </c>
      <c r="H114" s="494">
        <f>+'5-Calculation'!G150</f>
        <v>234924.7099605141</v>
      </c>
    </row>
    <row r="115" spans="1:11" ht="15" customHeight="1" x14ac:dyDescent="0.2">
      <c r="A115" s="514" t="s">
        <v>353</v>
      </c>
      <c r="B115" s="304">
        <f t="shared" si="50"/>
        <v>4449105.7560662255</v>
      </c>
      <c r="C115" s="293"/>
      <c r="D115" s="495">
        <f>+'5-Calculation'!C156</f>
        <v>786691.41902616736</v>
      </c>
      <c r="E115" s="496">
        <f>+'5-Calculation'!D156</f>
        <v>804262.44181254576</v>
      </c>
      <c r="F115" s="496">
        <f>+'5-Calculation'!E156</f>
        <v>987585.21949123207</v>
      </c>
      <c r="G115" s="496">
        <f>+'5-Calculation'!F156</f>
        <v>748294.79214076232</v>
      </c>
      <c r="H115" s="497">
        <f>+'5-Calculation'!G156</f>
        <v>1122271.8835955176</v>
      </c>
    </row>
    <row r="116" spans="1:11" ht="15" customHeight="1" x14ac:dyDescent="0.2">
      <c r="A116" s="514" t="s">
        <v>354</v>
      </c>
      <c r="B116" s="304">
        <f t="shared" si="50"/>
        <v>53961.75</v>
      </c>
      <c r="C116" s="293"/>
      <c r="D116" s="495">
        <f>+'5-Calculation'!C166</f>
        <v>1384</v>
      </c>
      <c r="E116" s="496">
        <f>+'5-Calculation'!D166</f>
        <v>9018.75</v>
      </c>
      <c r="F116" s="496">
        <f>+'5-Calculation'!E166</f>
        <v>10251.599999999999</v>
      </c>
      <c r="G116" s="496">
        <f>+'5-Calculation'!F166</f>
        <v>2051.4499999999998</v>
      </c>
      <c r="H116" s="497">
        <f>+'5-Calculation'!G166</f>
        <v>31255.949999999997</v>
      </c>
    </row>
    <row r="117" spans="1:11" ht="15" customHeight="1" x14ac:dyDescent="0.2">
      <c r="A117" s="514" t="s">
        <v>129</v>
      </c>
      <c r="B117" s="304">
        <f t="shared" si="50"/>
        <v>0</v>
      </c>
      <c r="C117" s="293"/>
      <c r="D117" s="495">
        <f>+'5-Calculation'!C173</f>
        <v>0</v>
      </c>
      <c r="E117" s="496">
        <f>+'5-Calculation'!D173</f>
        <v>0</v>
      </c>
      <c r="F117" s="496">
        <f>+'5-Calculation'!E173</f>
        <v>0</v>
      </c>
      <c r="G117" s="496">
        <f>+'5-Calculation'!F173</f>
        <v>0</v>
      </c>
      <c r="H117" s="497">
        <f>+'5-Calculation'!G173</f>
        <v>0</v>
      </c>
    </row>
    <row r="118" spans="1:11" ht="15" customHeight="1" x14ac:dyDescent="0.2">
      <c r="A118" s="515" t="s">
        <v>358</v>
      </c>
      <c r="B118" s="305">
        <f>IF(ISNUMBER(SUM(D118:H118)),SUM(D118:H118),"n.a.")</f>
        <v>169523.28</v>
      </c>
      <c r="C118" s="293"/>
      <c r="D118" s="498">
        <f>+'2-Input - IIFS Liqudity'!I61-'2-Input - IIFS Liqudity'!I131</f>
        <v>42368</v>
      </c>
      <c r="E118" s="499">
        <f>+'2-Input - IIFS Liqudity'!J61-'2-Input - IIFS Liqudity'!J131</f>
        <v>33057.199999999997</v>
      </c>
      <c r="F118" s="499">
        <f>+'2-Input - IIFS Liqudity'!K61-'2-Input - IIFS Liqudity'!K131</f>
        <v>10036.16</v>
      </c>
      <c r="G118" s="499">
        <f>+'2-Input - IIFS Liqudity'!L61-'2-Input - IIFS Liqudity'!L131</f>
        <v>48041.919999999998</v>
      </c>
      <c r="H118" s="500">
        <f>+'2-Input - IIFS Liqudity'!M61-'2-Input - IIFS Liqudity'!M131</f>
        <v>36020</v>
      </c>
    </row>
    <row r="119" spans="1:11" ht="15" customHeight="1" x14ac:dyDescent="0.2">
      <c r="A119" s="296" t="s">
        <v>130</v>
      </c>
      <c r="B119" s="273">
        <f>SUM(D119:H119)</f>
        <v>6726439.5689221881</v>
      </c>
      <c r="C119" s="306"/>
      <c r="D119" s="333">
        <f>IF(ISNUMBER(SUM(D114:D118)),SUM(D114:D118),"n.a.")</f>
        <v>1177011.6751729092</v>
      </c>
      <c r="E119" s="332">
        <f>IF(ISNUMBER(SUM(E114:E118)),SUM(E114:E118),"n.a.")</f>
        <v>1349822.5968431779</v>
      </c>
      <c r="F119" s="332">
        <f t="shared" ref="F119:G119" si="51">IF(ISNUMBER(SUM(F114:F118)),SUM(F114:F118),"n.a.")</f>
        <v>1534180.9556095989</v>
      </c>
      <c r="G119" s="332">
        <f t="shared" si="51"/>
        <v>1240951.7977404709</v>
      </c>
      <c r="H119" s="516">
        <f>IF(ISNUMBER(SUM(H114:H118)),SUM(H114:H118),"n.a.")</f>
        <v>1424472.5435560315</v>
      </c>
    </row>
    <row r="120" spans="1:11" ht="15" customHeight="1" x14ac:dyDescent="0.2">
      <c r="A120" s="204"/>
      <c r="B120" s="290"/>
      <c r="D120" s="256"/>
      <c r="E120" s="256"/>
      <c r="F120" s="256"/>
      <c r="G120" s="256"/>
      <c r="H120" s="256"/>
    </row>
    <row r="121" spans="1:11" ht="15" customHeight="1" x14ac:dyDescent="0.2">
      <c r="A121" s="307" t="s">
        <v>131</v>
      </c>
      <c r="B121" s="239" t="s">
        <v>79</v>
      </c>
      <c r="C121" s="256"/>
      <c r="D121" s="301" t="str">
        <f>D$8</f>
        <v>IIFS1</v>
      </c>
      <c r="E121" s="301" t="str">
        <f t="shared" ref="E121:H121" si="52">E$8</f>
        <v>IIFS2</v>
      </c>
      <c r="F121" s="301" t="str">
        <f t="shared" si="52"/>
        <v>IIFS3</v>
      </c>
      <c r="G121" s="301" t="str">
        <f t="shared" si="52"/>
        <v>IIFS4</v>
      </c>
      <c r="H121" s="301" t="str">
        <f t="shared" si="52"/>
        <v>IIFS5</v>
      </c>
    </row>
    <row r="122" spans="1:11" s="17" customFormat="1" ht="15" customHeight="1" x14ac:dyDescent="0.2">
      <c r="A122" s="308" t="s">
        <v>359</v>
      </c>
      <c r="B122" s="302">
        <f>SUM(D122:H122)</f>
        <v>5064620</v>
      </c>
      <c r="C122" s="303"/>
      <c r="D122" s="331">
        <f>+'2-Input - IIFS Liqudity'!I129</f>
        <v>987194</v>
      </c>
      <c r="E122" s="330">
        <f>+'2-Input - IIFS Liqudity'!J129</f>
        <v>1025229</v>
      </c>
      <c r="F122" s="330">
        <f>+'2-Input - IIFS Liqudity'!K129</f>
        <v>963362</v>
      </c>
      <c r="G122" s="330">
        <f>+'2-Input - IIFS Liqudity'!L129</f>
        <v>1009953</v>
      </c>
      <c r="H122" s="504">
        <f>+'2-Input - IIFS Liqudity'!M129</f>
        <v>1078882</v>
      </c>
      <c r="I122" s="201"/>
      <c r="J122" s="201"/>
      <c r="K122" s="201"/>
    </row>
    <row r="123" spans="1:11" s="17" customFormat="1" ht="15" customHeight="1" x14ac:dyDescent="0.2">
      <c r="A123" s="309" t="s">
        <v>132</v>
      </c>
      <c r="B123" s="304">
        <f>SUM(D123:H123)</f>
        <v>4051696</v>
      </c>
      <c r="C123" s="293"/>
      <c r="D123" s="336">
        <f>+'2-Input - IIFS Liqudity'!I129*'3-Assumptions'!$I$141</f>
        <v>789755.20000000007</v>
      </c>
      <c r="E123" s="505">
        <f>+'2-Input - IIFS Liqudity'!J129*'3-Assumptions'!$I$141</f>
        <v>820183.20000000007</v>
      </c>
      <c r="F123" s="505">
        <f>+'2-Input - IIFS Liqudity'!K129*'3-Assumptions'!$I$141</f>
        <v>770689.60000000009</v>
      </c>
      <c r="G123" s="505">
        <f>+'2-Input - IIFS Liqudity'!L129*'3-Assumptions'!$I$141</f>
        <v>807962.4</v>
      </c>
      <c r="H123" s="506">
        <f>+'2-Input - IIFS Liqudity'!M129*'3-Assumptions'!$I$141</f>
        <v>863105.60000000009</v>
      </c>
      <c r="I123" s="201"/>
      <c r="J123" s="201"/>
      <c r="K123" s="201"/>
    </row>
    <row r="124" spans="1:11" s="17" customFormat="1" ht="15" customHeight="1" x14ac:dyDescent="0.2">
      <c r="A124" s="310" t="s">
        <v>39</v>
      </c>
      <c r="B124" s="311">
        <f>SUM(D124:H124)</f>
        <v>1012923.9999999997</v>
      </c>
      <c r="C124" s="312"/>
      <c r="D124" s="501">
        <f>IF(ISNUMBER(IF((D122-D123)&gt;0.75*D119,0.75*D119,D122-D123)),IF((D122-D123)&gt;0.75*D119,0.75*D119,D122-D123),"n.a.")</f>
        <v>197438.79999999993</v>
      </c>
      <c r="E124" s="502">
        <f t="shared" ref="E124:H124" si="53">IF(ISNUMBER(IF((E122-E123)&gt;0.75*E119,0.75*E119,E122-E123)),IF((E122-E123)&gt;0.75*E119,0.75*E119,E122-E123),"n.a.")</f>
        <v>205045.79999999993</v>
      </c>
      <c r="F124" s="502">
        <f t="shared" si="53"/>
        <v>192672.39999999991</v>
      </c>
      <c r="G124" s="502">
        <f t="shared" si="53"/>
        <v>201990.59999999998</v>
      </c>
      <c r="H124" s="503">
        <f t="shared" si="53"/>
        <v>215776.39999999991</v>
      </c>
      <c r="I124" s="201"/>
      <c r="J124" s="201"/>
      <c r="K124" s="201"/>
    </row>
    <row r="125" spans="1:11" ht="15" customHeight="1" x14ac:dyDescent="0.2">
      <c r="A125" s="313"/>
      <c r="B125" s="314"/>
      <c r="C125" s="315"/>
      <c r="D125" s="316"/>
      <c r="E125" s="316"/>
      <c r="F125" s="316"/>
      <c r="G125" s="316"/>
      <c r="H125" s="316"/>
    </row>
    <row r="126" spans="1:11" ht="15" customHeight="1" x14ac:dyDescent="0.2">
      <c r="A126" s="307" t="s">
        <v>133</v>
      </c>
      <c r="B126" s="317">
        <f>SUMPRODUCT(D126:H126,D105:H105)/B105</f>
        <v>4.4770437272231822</v>
      </c>
      <c r="C126" s="318"/>
      <c r="D126" s="507">
        <f>IF(ISNUMBER(D110/(D119-D124)),D110/(D119-D124),"n.a.")</f>
        <v>3.8010712060016565</v>
      </c>
      <c r="E126" s="508">
        <f>IF(ISNUMBER(E110/(E119-E124)),E110/(E119-E124),"n.a.")</f>
        <v>5.1912014782162759</v>
      </c>
      <c r="F126" s="508">
        <f>IF(ISNUMBER(F110/(F119-F124)),F110/(F119-F124),"n.a.")</f>
        <v>3.3677922001377003</v>
      </c>
      <c r="G126" s="508">
        <f>IF(ISNUMBER(G110/(G119-G124)),G110/(G119-G124),"n.a.")</f>
        <v>4.890378015126986</v>
      </c>
      <c r="H126" s="338">
        <f>IF(ISNUMBER(H110/(H119-H124)),H110/(H119-H124),"n.a.")</f>
        <v>5.1192684224140237</v>
      </c>
    </row>
    <row r="127" spans="1:11" ht="15" customHeight="1" x14ac:dyDescent="0.2">
      <c r="A127" s="307" t="s">
        <v>134</v>
      </c>
      <c r="B127" s="319">
        <f>SUM(D127:H127)</f>
        <v>0</v>
      </c>
      <c r="C127" s="320"/>
      <c r="D127" s="509">
        <f>IF(ISNUMBER(D126),IF(D126&lt;1,(D126-1)*D110,0),"n.a.")</f>
        <v>0</v>
      </c>
      <c r="E127" s="510">
        <f>IF(ISNUMBER(E126),IF(E126&lt;1,(E126-1)*E110,0),"n.a.")</f>
        <v>0</v>
      </c>
      <c r="F127" s="510">
        <f>IF(ISNUMBER(F126),IF(F126&lt;1,(F126-1)*F110,0),"n.a.")</f>
        <v>0</v>
      </c>
      <c r="G127" s="510">
        <f>IF(ISNUMBER(G126),IF(G126&lt;1,(G126-1)*G110,0),"n.a.")</f>
        <v>0</v>
      </c>
      <c r="H127" s="341">
        <f>IF(ISNUMBER(H126),IF(H126&lt;1,(H126-1)*H110,0),"n.a.")</f>
        <v>0</v>
      </c>
    </row>
    <row r="128" spans="1:11" ht="15" customHeight="1" x14ac:dyDescent="0.2">
      <c r="A128" s="307" t="s">
        <v>135</v>
      </c>
      <c r="B128" s="321">
        <f>SUM(D128:H128)</f>
        <v>0</v>
      </c>
      <c r="C128" s="322"/>
      <c r="D128" s="511">
        <f>IF(ISNUMBER(D126),IF(D126&lt;1,1,0),"n.a.")</f>
        <v>0</v>
      </c>
      <c r="E128" s="512">
        <f t="shared" ref="E128:H128" si="54">IF(ISNUMBER(E126),IF(E126&lt;1,1,0),"n.a.")</f>
        <v>0</v>
      </c>
      <c r="F128" s="512">
        <f t="shared" si="54"/>
        <v>0</v>
      </c>
      <c r="G128" s="512">
        <f t="shared" si="54"/>
        <v>0</v>
      </c>
      <c r="H128" s="343">
        <f t="shared" si="54"/>
        <v>0</v>
      </c>
    </row>
    <row r="129" spans="1:8" ht="15" customHeight="1" x14ac:dyDescent="0.2">
      <c r="A129" s="323"/>
      <c r="B129" s="324"/>
      <c r="C129" s="325"/>
    </row>
    <row r="130" spans="1:8" ht="15" customHeight="1" x14ac:dyDescent="0.2"/>
    <row r="131" spans="1:8" ht="15" customHeight="1" x14ac:dyDescent="0.2">
      <c r="A131" s="447" t="s">
        <v>324</v>
      </c>
      <c r="B131" s="450"/>
      <c r="C131" s="449"/>
      <c r="D131" s="449"/>
      <c r="E131" s="449"/>
      <c r="F131" s="449"/>
      <c r="G131" s="449"/>
      <c r="H131" s="449"/>
    </row>
    <row r="132" spans="1:8" ht="15" customHeight="1" x14ac:dyDescent="0.2">
      <c r="A132" s="326"/>
      <c r="B132" s="335"/>
      <c r="C132" s="474"/>
      <c r="D132" s="204"/>
      <c r="E132" s="204"/>
      <c r="F132" s="204"/>
      <c r="G132" s="204"/>
      <c r="H132" s="204"/>
    </row>
    <row r="133" spans="1:8" ht="15" customHeight="1" x14ac:dyDescent="0.2">
      <c r="A133" s="327"/>
      <c r="B133" s="328" t="s">
        <v>79</v>
      </c>
      <c r="C133" s="475"/>
      <c r="D133" s="151" t="str">
        <f>+D8</f>
        <v>IIFS1</v>
      </c>
      <c r="E133" s="151" t="str">
        <f>+E8</f>
        <v>IIFS2</v>
      </c>
      <c r="F133" s="151" t="str">
        <f>+F8</f>
        <v>IIFS3</v>
      </c>
      <c r="G133" s="151" t="str">
        <f>+G8</f>
        <v>IIFS4</v>
      </c>
      <c r="H133" s="151" t="str">
        <f>+H8</f>
        <v>IIFS5</v>
      </c>
    </row>
    <row r="134" spans="1:8" ht="15" customHeight="1" x14ac:dyDescent="0.2">
      <c r="A134" s="327" t="s">
        <v>15</v>
      </c>
      <c r="B134" s="329">
        <f>SUM(D134:H134)</f>
        <v>82084134.373911291</v>
      </c>
      <c r="C134" s="476"/>
      <c r="D134" s="501">
        <f>+'2-Input - IIFS Liqudity'!I15</f>
        <v>16849328.640699401</v>
      </c>
      <c r="E134" s="502">
        <f>+'2-Input - IIFS Liqudity'!J15</f>
        <v>16545896.7205882</v>
      </c>
      <c r="F134" s="502">
        <f>+'2-Input - IIFS Liqudity'!K15</f>
        <v>15947302.0410292</v>
      </c>
      <c r="G134" s="502">
        <f>+'2-Input - IIFS Liqudity'!L15</f>
        <v>16447157.782196999</v>
      </c>
      <c r="H134" s="503">
        <f>+'2-Input - IIFS Liqudity'!M15</f>
        <v>16294449.189397499</v>
      </c>
    </row>
    <row r="135" spans="1:8" ht="15" customHeight="1" x14ac:dyDescent="0.2">
      <c r="A135" s="201"/>
      <c r="B135" s="201"/>
      <c r="C135" s="201"/>
      <c r="D135" s="201"/>
      <c r="E135" s="201"/>
      <c r="F135" s="201"/>
      <c r="G135" s="201"/>
      <c r="H135" s="201"/>
    </row>
    <row r="136" spans="1:8" ht="15" customHeight="1" x14ac:dyDescent="0.2">
      <c r="A136" s="327" t="s">
        <v>137</v>
      </c>
      <c r="B136" s="329">
        <f>SUM(D136:H136)</f>
        <v>14935679.550000001</v>
      </c>
      <c r="C136" s="414"/>
      <c r="D136" s="472">
        <f>+'5-Calculation'!C192</f>
        <v>3919197.1</v>
      </c>
      <c r="E136" s="471">
        <f>+'5-Calculation'!D192</f>
        <v>3641192.8</v>
      </c>
      <c r="F136" s="471">
        <f>+'5-Calculation'!E192</f>
        <v>2769719.5</v>
      </c>
      <c r="G136" s="471">
        <f>+'5-Calculation'!F192</f>
        <v>2587930</v>
      </c>
      <c r="H136" s="473">
        <f>+'5-Calculation'!G192</f>
        <v>2017640.15</v>
      </c>
    </row>
    <row r="137" spans="1:8" ht="15" customHeight="1" x14ac:dyDescent="0.2">
      <c r="B137" s="334"/>
      <c r="C137" s="335"/>
    </row>
    <row r="138" spans="1:8" x14ac:dyDescent="0.2">
      <c r="A138" s="327" t="s">
        <v>139</v>
      </c>
      <c r="B138" s="329">
        <f t="shared" ref="B138" si="55">SUM(D138:H138)</f>
        <v>3632993.6500000004</v>
      </c>
      <c r="C138" s="476"/>
      <c r="D138" s="472">
        <f>+'5-Calculation'!C200</f>
        <v>853109.15</v>
      </c>
      <c r="E138" s="471">
        <f>+'5-Calculation'!D200</f>
        <v>695012.55</v>
      </c>
      <c r="F138" s="471">
        <f>+'5-Calculation'!E200</f>
        <v>716094.35</v>
      </c>
      <c r="G138" s="471">
        <f>+'5-Calculation'!F200</f>
        <v>714133.15</v>
      </c>
      <c r="H138" s="473">
        <f>+'5-Calculation'!G200</f>
        <v>654644.44999999995</v>
      </c>
    </row>
    <row r="139" spans="1:8" x14ac:dyDescent="0.2">
      <c r="B139" s="334"/>
      <c r="C139" s="335"/>
    </row>
    <row r="140" spans="1:8" x14ac:dyDescent="0.2">
      <c r="A140" s="327" t="s">
        <v>140</v>
      </c>
      <c r="B140" s="337">
        <f>SUMPRODUCT(D140:H140,D134:H134)/$B$134</f>
        <v>4.08841925121438</v>
      </c>
      <c r="C140" s="477"/>
      <c r="D140" s="507">
        <f>IF(ISNUMBER(D136/D138),D136/D138,"n.a.")</f>
        <v>4.5940160177627911</v>
      </c>
      <c r="E140" s="508">
        <f>IF(ISNUMBER(E136/E138),E136/E138,"n.a.")</f>
        <v>5.2390317268371627</v>
      </c>
      <c r="F140" s="508">
        <f>IF(ISNUMBER(F136/F138),F136/F138,"n.a.")</f>
        <v>3.8678136477406926</v>
      </c>
      <c r="G140" s="508">
        <f>IF(ISNUMBER(G136/G138),G136/G138,"n.a.")</f>
        <v>3.6238760236798977</v>
      </c>
      <c r="H140" s="338">
        <f>IF(ISNUMBER(H136/H138),H136/H138,"n.a.")</f>
        <v>3.0820396476285716</v>
      </c>
    </row>
    <row r="141" spans="1:8" x14ac:dyDescent="0.2">
      <c r="A141" s="327" t="s">
        <v>134</v>
      </c>
      <c r="B141" s="339">
        <f>SUM(D141:H141)</f>
        <v>0</v>
      </c>
      <c r="C141" s="340"/>
      <c r="D141" s="509">
        <f>IF(ISNUMBER(D140),IF(D140&lt;1,(D140-1)*D138,0),"n.a.")</f>
        <v>0</v>
      </c>
      <c r="E141" s="510">
        <f t="shared" ref="E141:H141" si="56">IF(ISNUMBER(E140),IF(E140&lt;1,(E140-1)*E138,0),"n.a.")</f>
        <v>0</v>
      </c>
      <c r="F141" s="510">
        <f t="shared" si="56"/>
        <v>0</v>
      </c>
      <c r="G141" s="510">
        <f t="shared" si="56"/>
        <v>0</v>
      </c>
      <c r="H141" s="341">
        <f t="shared" si="56"/>
        <v>0</v>
      </c>
    </row>
    <row r="142" spans="1:8" x14ac:dyDescent="0.2">
      <c r="A142" s="327" t="s">
        <v>135</v>
      </c>
      <c r="B142" s="342">
        <f>SUM(D142:H142)</f>
        <v>0</v>
      </c>
      <c r="C142" s="478"/>
      <c r="D142" s="511">
        <f>IF(ISNUMBER(D140),IF(D140&lt;1,1,0),"n.a.")</f>
        <v>0</v>
      </c>
      <c r="E142" s="512">
        <f t="shared" ref="E142:H142" si="57">IF(ISNUMBER(E140),IF(E140&lt;1,1,0),"n.a.")</f>
        <v>0</v>
      </c>
      <c r="F142" s="512">
        <f t="shared" si="57"/>
        <v>0</v>
      </c>
      <c r="G142" s="512">
        <f t="shared" si="57"/>
        <v>0</v>
      </c>
      <c r="H142" s="343">
        <f t="shared" si="57"/>
        <v>0</v>
      </c>
    </row>
  </sheetData>
  <mergeCells count="2">
    <mergeCell ref="A2:G2"/>
    <mergeCell ref="A104:B104"/>
  </mergeCells>
  <conditionalFormatting sqref="D99:H99 D101:H101 D81:H81 D53:H53 D67:H67 D39:H39 D25:H25">
    <cfRule type="colorScale" priority="38">
      <colorScale>
        <cfvo type="num" val="0"/>
        <cfvo type="num" val="1"/>
        <color rgb="FF00B050"/>
        <color rgb="FFFF0000"/>
      </colorScale>
    </cfRule>
  </conditionalFormatting>
  <conditionalFormatting sqref="D126:H126">
    <cfRule type="cellIs" dxfId="16" priority="37" stopIfTrue="1" operator="lessThan">
      <formula>1</formula>
    </cfRule>
  </conditionalFormatting>
  <conditionalFormatting sqref="D100:H100">
    <cfRule type="cellIs" dxfId="15" priority="8" operator="lessThan">
      <formula>0</formula>
    </cfRule>
  </conditionalFormatting>
  <conditionalFormatting sqref="D128:H128">
    <cfRule type="cellIs" dxfId="14" priority="7" operator="equal">
      <formula>1</formula>
    </cfRule>
  </conditionalFormatting>
  <conditionalFormatting sqref="D39:H39">
    <cfRule type="colorScale" priority="51">
      <colorScale>
        <cfvo type="min"/>
        <cfvo type="percentile" val="50"/>
        <cfvo type="max"/>
        <color rgb="FF63BE7B"/>
        <color rgb="FFFFEB84"/>
        <color rgb="FFF8696B"/>
      </colorScale>
    </cfRule>
  </conditionalFormatting>
  <conditionalFormatting sqref="D53:H53">
    <cfRule type="colorScale" priority="52">
      <colorScale>
        <cfvo type="min"/>
        <cfvo type="percentile" val="50"/>
        <cfvo type="max"/>
        <color rgb="FF63BE7B"/>
        <color rgb="FFFFEB84"/>
        <color rgb="FFF8696B"/>
      </colorScale>
    </cfRule>
  </conditionalFormatting>
  <conditionalFormatting sqref="D67:H67">
    <cfRule type="colorScale" priority="53">
      <colorScale>
        <cfvo type="min"/>
        <cfvo type="percentile" val="50"/>
        <cfvo type="max"/>
        <color rgb="FF63BE7B"/>
        <color rgb="FFFFEB84"/>
        <color rgb="FFF8696B"/>
      </colorScale>
    </cfRule>
  </conditionalFormatting>
  <conditionalFormatting sqref="D81:H81">
    <cfRule type="colorScale" priority="54">
      <colorScale>
        <cfvo type="min"/>
        <cfvo type="percentile" val="50"/>
        <cfvo type="max"/>
        <color rgb="FF63BE7B"/>
        <color rgb="FFFFEB84"/>
        <color rgb="FFF8696B"/>
      </colorScale>
    </cfRule>
  </conditionalFormatting>
  <conditionalFormatting sqref="D101:H101 D99:H99">
    <cfRule type="colorScale" priority="55">
      <colorScale>
        <cfvo type="min"/>
        <cfvo type="percentile" val="50"/>
        <cfvo type="max"/>
        <color rgb="FF63BE7B"/>
        <color rgb="FFFFEB84"/>
        <color rgb="FFF8696B"/>
      </colorScale>
    </cfRule>
  </conditionalFormatting>
  <conditionalFormatting sqref="D141:H141">
    <cfRule type="cellIs" dxfId="13" priority="6" stopIfTrue="1" operator="lessThan">
      <formula>0</formula>
    </cfRule>
  </conditionalFormatting>
  <conditionalFormatting sqref="D140:H140">
    <cfRule type="cellIs" dxfId="12" priority="3" operator="lessThan">
      <formula>1</formula>
    </cfRule>
    <cfRule type="cellIs" dxfId="11" priority="4" stopIfTrue="1" operator="lessThan">
      <formula>1</formula>
    </cfRule>
    <cfRule type="cellIs" dxfId="10" priority="5" stopIfTrue="1" operator="lessThan">
      <formula>1</formula>
    </cfRule>
  </conditionalFormatting>
  <conditionalFormatting sqref="D142:H142">
    <cfRule type="cellIs" dxfId="9" priority="1" operator="equal">
      <formula>1</formula>
    </cfRule>
    <cfRule type="cellIs" dxfId="8" priority="2" operator="equal">
      <formula>1</formula>
    </cfRule>
  </conditionalFormatting>
  <dataValidations count="1">
    <dataValidation allowBlank="1" showInputMessage="1" showErrorMessage="1" prompt="Based on the assumptions on liquidity and haircuts_x000a_" sqref="D14:H14"/>
  </dataValidations>
  <pageMargins left="0.1603125" right="0.70866141732283472" top="0.74803149606299213" bottom="0.74803149606299213" header="0.31496062992125984" footer="0.31496062992125984"/>
  <pageSetup scale="81" fitToHeight="0" orientation="landscape" r:id="rId1"/>
  <headerFooter>
    <oddHeader xml:space="preserve">&amp;C© Islamic Financial Services Board 2017. 
This document is part of TN-2 (Technical Note on Stress Testing for Institutions offering Financial Services), December 2016. </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[2]Variables!#REF!</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FFC000"/>
    <pageSetUpPr fitToPage="1"/>
  </sheetPr>
  <dimension ref="A1:Z255"/>
  <sheetViews>
    <sheetView view="pageLayout" zoomScale="90" zoomScaleNormal="100" zoomScalePageLayoutView="90" workbookViewId="0"/>
  </sheetViews>
  <sheetFormatPr defaultColWidth="9.140625" defaultRowHeight="12.75" x14ac:dyDescent="0.2"/>
  <cols>
    <col min="1" max="1" width="56.7109375" style="103" customWidth="1"/>
    <col min="2" max="2" width="13.7109375" style="103" customWidth="1"/>
    <col min="3" max="6" width="13.28515625" style="103" customWidth="1"/>
    <col min="7" max="7" width="11.28515625" style="103" customWidth="1"/>
    <col min="8" max="8" width="16.5703125" style="103" customWidth="1"/>
    <col min="9" max="9" width="22.5703125" style="103" customWidth="1"/>
    <col min="10" max="12" width="8.85546875" style="103" customWidth="1"/>
    <col min="13" max="26" width="9.140625" style="103"/>
    <col min="27" max="16384" width="9.140625" style="72"/>
  </cols>
  <sheetData>
    <row r="1" spans="1:26" ht="13.5" thickBot="1" x14ac:dyDescent="0.25"/>
    <row r="2" spans="1:26" s="73" customFormat="1" ht="13.5" thickBot="1" x14ac:dyDescent="0.25">
      <c r="A2" s="931" t="s">
        <v>368</v>
      </c>
      <c r="B2" s="932"/>
      <c r="C2" s="932"/>
      <c r="D2" s="932"/>
      <c r="E2" s="932"/>
      <c r="F2" s="932"/>
      <c r="G2" s="932"/>
      <c r="H2" s="158"/>
      <c r="I2" s="158"/>
      <c r="J2" s="158"/>
      <c r="K2" s="158"/>
      <c r="L2" s="158"/>
      <c r="M2" s="158"/>
      <c r="N2" s="158"/>
      <c r="O2" s="158"/>
      <c r="P2" s="158"/>
      <c r="Q2" s="158"/>
      <c r="R2" s="158"/>
      <c r="S2" s="158"/>
      <c r="T2" s="158"/>
      <c r="U2" s="158"/>
      <c r="V2" s="158"/>
      <c r="W2" s="158"/>
      <c r="X2" s="158"/>
      <c r="Y2" s="158"/>
      <c r="Z2" s="158"/>
    </row>
    <row r="3" spans="1:26" s="73" customFormat="1" x14ac:dyDescent="0.2">
      <c r="A3" s="158"/>
      <c r="B3" s="103"/>
      <c r="C3" s="103"/>
      <c r="D3" s="103"/>
      <c r="E3" s="103"/>
      <c r="F3" s="158"/>
      <c r="G3" s="158"/>
      <c r="H3" s="158"/>
      <c r="I3" s="158"/>
      <c r="J3" s="158"/>
      <c r="K3" s="158"/>
      <c r="L3" s="158"/>
      <c r="M3" s="158"/>
      <c r="N3" s="158"/>
      <c r="O3" s="158"/>
      <c r="P3" s="158"/>
      <c r="Q3" s="158"/>
      <c r="R3" s="158"/>
      <c r="S3" s="158"/>
      <c r="T3" s="158"/>
      <c r="U3" s="158"/>
      <c r="V3" s="158"/>
      <c r="W3" s="158"/>
      <c r="X3" s="158"/>
      <c r="Y3" s="158"/>
      <c r="Z3" s="158"/>
    </row>
    <row r="4" spans="1:26" s="73" customFormat="1" x14ac:dyDescent="0.2">
      <c r="A4" s="933" t="s">
        <v>233</v>
      </c>
      <c r="B4" s="934"/>
      <c r="C4" s="934"/>
      <c r="D4" s="934"/>
      <c r="E4" s="934"/>
      <c r="F4" s="934"/>
      <c r="G4" s="934"/>
      <c r="H4" s="158"/>
      <c r="I4" s="158"/>
      <c r="J4" s="158"/>
      <c r="K4" s="158"/>
      <c r="L4" s="158"/>
      <c r="M4" s="158"/>
      <c r="N4" s="158"/>
      <c r="O4" s="158"/>
      <c r="P4" s="158"/>
      <c r="Q4" s="158"/>
      <c r="R4" s="158"/>
      <c r="S4" s="158"/>
      <c r="T4" s="158"/>
      <c r="U4" s="158"/>
      <c r="V4" s="158"/>
      <c r="W4" s="158"/>
      <c r="X4" s="158"/>
      <c r="Y4" s="158"/>
      <c r="Z4" s="158"/>
    </row>
    <row r="6" spans="1:26" ht="12.75" customHeight="1" x14ac:dyDescent="0.2">
      <c r="A6" s="159" t="s">
        <v>234</v>
      </c>
      <c r="B6" s="160"/>
      <c r="C6" s="160"/>
      <c r="D6" s="160"/>
      <c r="E6" s="160"/>
      <c r="F6" s="160"/>
      <c r="G6" s="160"/>
    </row>
    <row r="8" spans="1:26" s="74" customFormat="1" x14ac:dyDescent="0.2">
      <c r="A8" s="152" t="s">
        <v>84</v>
      </c>
      <c r="B8" s="104" t="s">
        <v>8</v>
      </c>
      <c r="C8" s="151" t="str">
        <f>+'2-Input - IIFS Liqudity'!I4</f>
        <v>IIFS1</v>
      </c>
      <c r="D8" s="151" t="str">
        <f>+'2-Input - IIFS Liqudity'!J4</f>
        <v>IIFS2</v>
      </c>
      <c r="E8" s="151" t="str">
        <f>+'2-Input - IIFS Liqudity'!K4</f>
        <v>IIFS3</v>
      </c>
      <c r="F8" s="151" t="str">
        <f>+'2-Input - IIFS Liqudity'!L4</f>
        <v>IIFS4</v>
      </c>
      <c r="G8" s="151" t="str">
        <f>+'2-Input - IIFS Liqudity'!M4</f>
        <v>IIFS5</v>
      </c>
      <c r="H8" s="161"/>
      <c r="I8" s="161"/>
      <c r="J8" s="161"/>
      <c r="K8" s="161"/>
      <c r="L8" s="161"/>
      <c r="M8" s="161"/>
      <c r="N8" s="161"/>
      <c r="O8" s="161"/>
      <c r="P8" s="161"/>
      <c r="Q8" s="161"/>
      <c r="R8" s="161"/>
      <c r="S8" s="161"/>
      <c r="T8" s="161"/>
      <c r="U8" s="161"/>
      <c r="V8" s="161"/>
      <c r="W8" s="161"/>
      <c r="X8" s="161"/>
      <c r="Y8" s="161"/>
      <c r="Z8" s="161"/>
    </row>
    <row r="9" spans="1:26" x14ac:dyDescent="0.2">
      <c r="A9" s="153" t="s">
        <v>235</v>
      </c>
      <c r="B9" s="96">
        <f t="shared" ref="B9:B17" si="0">SUM(C9:G9)</f>
        <v>2826775.7912897384</v>
      </c>
      <c r="C9" s="183">
        <f>SUM(C10:C16)</f>
        <v>480017.38927710499</v>
      </c>
      <c r="D9" s="157">
        <f t="shared" ref="D9:F9" si="1">SUM(D10:D16)</f>
        <v>619101.09657884564</v>
      </c>
      <c r="E9" s="157">
        <f t="shared" si="1"/>
        <v>736283.36966336565</v>
      </c>
      <c r="F9" s="157">
        <f t="shared" si="1"/>
        <v>558916.8264712143</v>
      </c>
      <c r="G9" s="424">
        <f>SUM(G10:G16)</f>
        <v>432457.10929920821</v>
      </c>
    </row>
    <row r="10" spans="1:26" x14ac:dyDescent="0.2">
      <c r="A10" s="154" t="str">
        <f>+'2-Input - IIFS Liqudity'!$B$38</f>
        <v>Total Customer Deposits/UPSIA</v>
      </c>
      <c r="B10" s="97">
        <f>SUM(C10:G10)</f>
        <v>2763204.5612897389</v>
      </c>
      <c r="C10" s="109">
        <f>$B$76*'2-Input - IIFS Liqudity'!I38</f>
        <v>464129.38927710499</v>
      </c>
      <c r="D10" s="110">
        <f>$B$76*'2-Input - IIFS Liqudity'!J38</f>
        <v>606704.64657884568</v>
      </c>
      <c r="E10" s="110">
        <f>$B$76*'2-Input - IIFS Liqudity'!K38</f>
        <v>732519.8096633656</v>
      </c>
      <c r="F10" s="110">
        <f>$B$76*'2-Input - IIFS Liqudity'!L38</f>
        <v>540901.10647121433</v>
      </c>
      <c r="G10" s="111">
        <f>$B$76*'2-Input - IIFS Liqudity'!M38</f>
        <v>418949.60929920821</v>
      </c>
      <c r="I10" s="144"/>
    </row>
    <row r="11" spans="1:26" x14ac:dyDescent="0.2">
      <c r="A11" s="155" t="str">
        <f>+'2-Input - IIFS Liqudity'!$B$63</f>
        <v>Short-term Funding</v>
      </c>
      <c r="B11" s="98">
        <f t="shared" si="0"/>
        <v>0</v>
      </c>
      <c r="C11" s="112">
        <f>IF(ISNUMBER($B$104*'2-Input - IIFS Liqudity'!I63),$B$104*'2-Input - IIFS Liqudity'!I63,"n.a.")</f>
        <v>0</v>
      </c>
      <c r="D11" s="113">
        <f>IF(ISNUMBER($B$104*'2-Input - IIFS Liqudity'!J63),$B$104*'2-Input - IIFS Liqudity'!J63,"n.a.")</f>
        <v>0</v>
      </c>
      <c r="E11" s="113">
        <f>IF(ISNUMBER($B$104*'2-Input - IIFS Liqudity'!K63),$B$104*'2-Input - IIFS Liqudity'!K63,"n.a.")</f>
        <v>0</v>
      </c>
      <c r="F11" s="113">
        <f>IF(ISNUMBER($B$104*'2-Input - IIFS Liqudity'!L63),$B$104*'2-Input - IIFS Liqudity'!L63,"n.a.")</f>
        <v>0</v>
      </c>
      <c r="G11" s="114">
        <f>IF(ISNUMBER($B$104*'2-Input - IIFS Liqudity'!M63),$B$104*'2-Input - IIFS Liqudity'!M63,"n.a.")</f>
        <v>0</v>
      </c>
      <c r="I11" s="144"/>
    </row>
    <row r="12" spans="1:26" x14ac:dyDescent="0.2">
      <c r="A12" s="155" t="str">
        <f>+'2-Input - IIFS Liqudity'!$B$73</f>
        <v>Central Bank Funding</v>
      </c>
      <c r="B12" s="98">
        <f t="shared" si="0"/>
        <v>0</v>
      </c>
      <c r="C12" s="112" t="str">
        <f>IF(ISNUMBER($B$112*'2-Input - IIFS Liqudity'!I73),$B$112*+'2-Input - IIFS Liqudity'!I73,"n.a.")</f>
        <v>n.a.</v>
      </c>
      <c r="D12" s="113" t="s">
        <v>449</v>
      </c>
      <c r="E12" s="113" t="s">
        <v>449</v>
      </c>
      <c r="F12" s="113" t="s">
        <v>449</v>
      </c>
      <c r="G12" s="114" t="s">
        <v>449</v>
      </c>
    </row>
    <row r="13" spans="1:26" x14ac:dyDescent="0.2">
      <c r="A13" s="155" t="str">
        <f>A114</f>
        <v xml:space="preserve">Intragroup funding &amp; commitment </v>
      </c>
      <c r="B13" s="98">
        <f t="shared" si="0"/>
        <v>0</v>
      </c>
      <c r="C13" s="112" t="str">
        <f>IF(ISNUMBER($B$114*'2-Input - IIFS Liqudity'!I75),'2-Input - IIFS Liqudity'!I75,"n.a.")</f>
        <v>n.a.</v>
      </c>
      <c r="D13" s="113" t="s">
        <v>449</v>
      </c>
      <c r="E13" s="113" t="s">
        <v>449</v>
      </c>
      <c r="F13" s="113" t="s">
        <v>449</v>
      </c>
      <c r="G13" s="114" t="s">
        <v>449</v>
      </c>
      <c r="I13" s="144"/>
    </row>
    <row r="14" spans="1:26" x14ac:dyDescent="0.2">
      <c r="A14" s="155" t="str">
        <f>+'2-Input - IIFS Liqudity'!B77</f>
        <v>Long-term funding (Sukuk or other)</v>
      </c>
      <c r="B14" s="98">
        <f t="shared" si="0"/>
        <v>0</v>
      </c>
      <c r="C14" s="112">
        <f>IF(ISNUMBER($B$116*'2-Input - IIFS Liqudity'!I77),$B$116*'2-Input - IIFS Liqudity'!I77,"n.a.")</f>
        <v>0</v>
      </c>
      <c r="D14" s="113">
        <f>IF(ISNUMBER($B$116*'2-Input - IIFS Liqudity'!J77),$B$116*'2-Input - IIFS Liqudity'!J77,"n.a.")</f>
        <v>0</v>
      </c>
      <c r="E14" s="113">
        <f>IF(ISNUMBER($B$116*'2-Input - IIFS Liqudity'!K77),$B$116*'2-Input - IIFS Liqudity'!K77,"n.a.")</f>
        <v>0</v>
      </c>
      <c r="F14" s="113">
        <f>IF(ISNUMBER($B$116*'2-Input - IIFS Liqudity'!L77),$B$116*'2-Input - IIFS Liqudity'!L77,"n.a.")</f>
        <v>0</v>
      </c>
      <c r="G14" s="114">
        <f>IF(ISNUMBER($B$116*'2-Input - IIFS Liqudity'!M77),$B$116*'2-Input - IIFS Liqudity'!M77,"n.a.")</f>
        <v>0</v>
      </c>
      <c r="I14" s="144"/>
    </row>
    <row r="15" spans="1:26" s="75" customFormat="1" x14ac:dyDescent="0.2">
      <c r="A15" s="155" t="s">
        <v>29</v>
      </c>
      <c r="B15" s="98">
        <f t="shared" si="0"/>
        <v>0</v>
      </c>
      <c r="C15" s="112">
        <f>IF(ISNUMBER($B$123*'2-Input - IIFS Liqudity'!I86),$B$123*'2-Input - IIFS Liqudity'!I86,"n.a.")</f>
        <v>0</v>
      </c>
      <c r="D15" s="113">
        <f>IF(ISNUMBER($B$123*'2-Input - IIFS Liqudity'!J86),$B$123*'2-Input - IIFS Liqudity'!J86,"n.a.")</f>
        <v>0</v>
      </c>
      <c r="E15" s="113">
        <f>IF(ISNUMBER($B$123*'2-Input - IIFS Liqudity'!K86),$B$123*'2-Input - IIFS Liqudity'!K86,"n.a.")</f>
        <v>0</v>
      </c>
      <c r="F15" s="113">
        <f>IF(ISNUMBER($B$123*'2-Input - IIFS Liqudity'!L86),$B$123*'2-Input - IIFS Liqudity'!L86,"n.a.")</f>
        <v>0</v>
      </c>
      <c r="G15" s="114">
        <f>IF(ISNUMBER($B$123*'2-Input - IIFS Liqudity'!M86),$B$123*'2-Input - IIFS Liqudity'!M86,"n.a.")</f>
        <v>0</v>
      </c>
      <c r="H15" s="634"/>
      <c r="I15" s="144"/>
      <c r="J15" s="162"/>
      <c r="K15" s="162"/>
      <c r="L15" s="162"/>
      <c r="M15" s="162"/>
      <c r="N15" s="162"/>
      <c r="O15" s="162"/>
      <c r="P15" s="162"/>
      <c r="Q15" s="162"/>
      <c r="R15" s="162"/>
      <c r="S15" s="162"/>
      <c r="T15" s="162"/>
      <c r="U15" s="162"/>
      <c r="V15" s="162"/>
      <c r="W15" s="162"/>
      <c r="X15" s="162"/>
      <c r="Y15" s="162"/>
      <c r="Z15" s="162"/>
    </row>
    <row r="16" spans="1:26" x14ac:dyDescent="0.2">
      <c r="A16" s="164" t="s">
        <v>61</v>
      </c>
      <c r="B16" s="99">
        <f t="shared" si="0"/>
        <v>63571.229999999996</v>
      </c>
      <c r="C16" s="115">
        <f>IF(ISNUMBER($B$101*'2-Input - IIFS Liqudity'!I59),$B$101*'2-Input - IIFS Liqudity'!I59,"n.a.")</f>
        <v>15888</v>
      </c>
      <c r="D16" s="116">
        <f>IF(ISNUMBER($B$101*'2-Input - IIFS Liqudity'!J59),$B$101*'2-Input - IIFS Liqudity'!J59,"n.a.")</f>
        <v>12396.449999999999</v>
      </c>
      <c r="E16" s="116">
        <f>IF(ISNUMBER($B$101*'2-Input - IIFS Liqudity'!K59),$B$101*'2-Input - IIFS Liqudity'!K59,"n.a.")</f>
        <v>3763.56</v>
      </c>
      <c r="F16" s="116">
        <f>IF(ISNUMBER($B$101*'2-Input - IIFS Liqudity'!L59),$B$101*'2-Input - IIFS Liqudity'!L59,"n.a.")</f>
        <v>18015.719999999998</v>
      </c>
      <c r="G16" s="117">
        <f>IF(ISNUMBER($B$101*'2-Input - IIFS Liqudity'!M59),$B$101*'2-Input - IIFS Liqudity'!M59,"n.a.")</f>
        <v>13507.5</v>
      </c>
      <c r="H16" s="634"/>
    </row>
    <row r="17" spans="1:26" ht="14.25" customHeight="1" x14ac:dyDescent="0.2">
      <c r="A17" s="156" t="s">
        <v>236</v>
      </c>
      <c r="B17" s="99">
        <f t="shared" si="0"/>
        <v>22285015.5</v>
      </c>
      <c r="C17" s="183">
        <f>SUMPRODUCT('2-Input - IIFS Liqudity'!I91:I103*'3-Assumptions'!$H$67:$H$79)</f>
        <v>4301737.8</v>
      </c>
      <c r="D17" s="157">
        <f>SUMPRODUCT('2-Input - IIFS Liqudity'!J91:J103*'3-Assumptions'!$H$67:$H$79)</f>
        <v>4705496.8000000007</v>
      </c>
      <c r="E17" s="157">
        <f>SUMPRODUCT('2-Input - IIFS Liqudity'!K91:K103*'3-Assumptions'!$H$67:$H$79)</f>
        <v>2970590.5</v>
      </c>
      <c r="F17" s="157">
        <f>SUMPRODUCT('2-Input - IIFS Liqudity'!L91:L103*'3-Assumptions'!$H$67:$H$79)</f>
        <v>4495354.5999999996</v>
      </c>
      <c r="G17" s="424">
        <f>SUMPRODUCT('2-Input - IIFS Liqudity'!M91:M103*'3-Assumptions'!$H$67:$H$79)</f>
        <v>5811835.8000000007</v>
      </c>
    </row>
    <row r="18" spans="1:26" x14ac:dyDescent="0.2">
      <c r="A18" s="163"/>
      <c r="B18" s="163"/>
      <c r="C18" s="163"/>
      <c r="D18" s="163"/>
      <c r="E18" s="163"/>
      <c r="F18" s="163"/>
      <c r="G18" s="163"/>
    </row>
    <row r="19" spans="1:26" s="74" customFormat="1" x14ac:dyDescent="0.2">
      <c r="A19" s="152" t="s">
        <v>92</v>
      </c>
      <c r="B19" s="104" t="s">
        <v>8</v>
      </c>
      <c r="C19" s="105" t="str">
        <f>+C8</f>
        <v>IIFS1</v>
      </c>
      <c r="D19" s="105" t="str">
        <f t="shared" ref="D19:G19" si="2">+D8</f>
        <v>IIFS2</v>
      </c>
      <c r="E19" s="105" t="str">
        <f t="shared" si="2"/>
        <v>IIFS3</v>
      </c>
      <c r="F19" s="105" t="str">
        <f t="shared" si="2"/>
        <v>IIFS4</v>
      </c>
      <c r="G19" s="151" t="str">
        <f t="shared" si="2"/>
        <v>IIFS5</v>
      </c>
      <c r="H19" s="161"/>
      <c r="I19" s="161"/>
      <c r="J19" s="161"/>
      <c r="K19" s="161"/>
      <c r="L19" s="161"/>
      <c r="M19" s="161"/>
      <c r="N19" s="161"/>
      <c r="O19" s="161"/>
      <c r="P19" s="161"/>
      <c r="Q19" s="161"/>
      <c r="R19" s="161"/>
      <c r="S19" s="161"/>
      <c r="T19" s="161"/>
      <c r="U19" s="161"/>
      <c r="V19" s="161"/>
      <c r="W19" s="161"/>
      <c r="X19" s="161"/>
      <c r="Y19" s="161"/>
      <c r="Z19" s="161"/>
    </row>
    <row r="20" spans="1:26" x14ac:dyDescent="0.2">
      <c r="A20" s="153" t="s">
        <v>235</v>
      </c>
      <c r="B20" s="96">
        <f>SUM(C20:G20)</f>
        <v>2643398.8656674065</v>
      </c>
      <c r="C20" s="183">
        <f>SUM(C21:C27)</f>
        <v>449059.66821930994</v>
      </c>
      <c r="D20" s="157">
        <f>SUM(D21:D27)</f>
        <v>578884.68140502088</v>
      </c>
      <c r="E20" s="157">
        <f t="shared" ref="E20:F20" si="3">SUM(E21:E27)</f>
        <v>688063.19749590824</v>
      </c>
      <c r="F20" s="157">
        <f t="shared" si="3"/>
        <v>522853.39327578625</v>
      </c>
      <c r="G20" s="424">
        <f>SUM(G21:G27)</f>
        <v>404537.92527138104</v>
      </c>
    </row>
    <row r="21" spans="1:26" x14ac:dyDescent="0.2">
      <c r="A21" s="154" t="str">
        <f t="shared" ref="A21:A26" si="4">A10</f>
        <v>Total Customer Deposits/UPSIA</v>
      </c>
      <c r="B21" s="97">
        <f t="shared" ref="B21:B27" si="5">SUM(C21:G21)</f>
        <v>2581734.7725674063</v>
      </c>
      <c r="C21" s="109">
        <f>$C$76*'2-Input - IIFS Liqudity'!I38</f>
        <v>433648.3082193099</v>
      </c>
      <c r="D21" s="110">
        <f>$C$76*'2-Input - IIFS Liqudity'!J38</f>
        <v>566860.12490502081</v>
      </c>
      <c r="E21" s="110">
        <f>$C$76*'2-Input - IIFS Liqudity'!K38</f>
        <v>684412.54429590818</v>
      </c>
      <c r="F21" s="110">
        <f>$C$76*'2-Input - IIFS Liqudity'!L38</f>
        <v>505378.14487578621</v>
      </c>
      <c r="G21" s="111">
        <f>$C$76*'2-Input - IIFS Liqudity'!M38</f>
        <v>391435.65027138102</v>
      </c>
    </row>
    <row r="22" spans="1:26" x14ac:dyDescent="0.2">
      <c r="A22" s="155" t="str">
        <f t="shared" si="4"/>
        <v>Short-term Funding</v>
      </c>
      <c r="B22" s="98">
        <f t="shared" si="5"/>
        <v>0</v>
      </c>
      <c r="C22" s="112">
        <f>IF(ISNUMBER($C$104*'2-Input - IIFS Liqudity'!I63),$C$104*'2-Input - IIFS Liqudity'!I63,"n.a.")</f>
        <v>0</v>
      </c>
      <c r="D22" s="113">
        <v>0</v>
      </c>
      <c r="E22" s="113">
        <v>0</v>
      </c>
      <c r="F22" s="113">
        <v>0</v>
      </c>
      <c r="G22" s="114">
        <v>0</v>
      </c>
    </row>
    <row r="23" spans="1:26" x14ac:dyDescent="0.2">
      <c r="A23" s="155" t="str">
        <f t="shared" si="4"/>
        <v>Central Bank Funding</v>
      </c>
      <c r="B23" s="98">
        <f t="shared" si="5"/>
        <v>0</v>
      </c>
      <c r="C23" s="112" t="str">
        <f>IF(ISNUMBER($C$112*'2-Input - IIFS Liqudity'!I73),$C$112*+'2-Input - IIFS Liqudity'!I73,"n.a.")</f>
        <v>n.a.</v>
      </c>
      <c r="D23" s="113" t="str">
        <f>IF(ISNUMBER($C$112*'2-Input - IIFS Liqudity'!J73),$C$112*+'2-Input - IIFS Liqudity'!J73,"n.a.")</f>
        <v>n.a.</v>
      </c>
      <c r="E23" s="113" t="str">
        <f>IF(ISNUMBER($C$112*'2-Input - IIFS Liqudity'!K73),$C$112*+'2-Input - IIFS Liqudity'!K73,"n.a.")</f>
        <v>n.a.</v>
      </c>
      <c r="F23" s="113" t="str">
        <f>IF(ISNUMBER($C$112*'2-Input - IIFS Liqudity'!L73),$C$112*+'2-Input - IIFS Liqudity'!L73,"n.a.")</f>
        <v>n.a.</v>
      </c>
      <c r="G23" s="114" t="str">
        <f>IF(ISNUMBER($C$112*'2-Input - IIFS Liqudity'!M73),$C$112*+'2-Input - IIFS Liqudity'!M73,"n.a.")</f>
        <v>n.a.</v>
      </c>
    </row>
    <row r="24" spans="1:26" x14ac:dyDescent="0.2">
      <c r="A24" s="155" t="str">
        <f t="shared" si="4"/>
        <v xml:space="preserve">Intragroup funding &amp; commitment </v>
      </c>
      <c r="B24" s="98">
        <f t="shared" si="5"/>
        <v>0</v>
      </c>
      <c r="C24" s="112" t="str">
        <f>IF(ISNUMBER($C$114*'2-Input - IIFS Liqudity'!I75),'2-Input - IIFS Liqudity'!I75,"n.a.")</f>
        <v>n.a.</v>
      </c>
      <c r="D24" s="113" t="str">
        <f>IF(ISNUMBER($C$114*'2-Input - IIFS Liqudity'!J75),'2-Input - IIFS Liqudity'!J75,"n.a.")</f>
        <v>n.a.</v>
      </c>
      <c r="E24" s="113" t="str">
        <f>IF(ISNUMBER($C$114*'2-Input - IIFS Liqudity'!K75),'2-Input - IIFS Liqudity'!K75,"n.a.")</f>
        <v>n.a.</v>
      </c>
      <c r="F24" s="113" t="str">
        <f>IF(ISNUMBER($C$114*'2-Input - IIFS Liqudity'!L75),'2-Input - IIFS Liqudity'!L75,"n.a.")</f>
        <v>n.a.</v>
      </c>
      <c r="G24" s="114" t="str">
        <f>IF(ISNUMBER($C$114*'2-Input - IIFS Liqudity'!M75),'2-Input - IIFS Liqudity'!M75,"n.a.")</f>
        <v>n.a.</v>
      </c>
    </row>
    <row r="25" spans="1:26" x14ac:dyDescent="0.2">
      <c r="A25" s="155" t="str">
        <f t="shared" si="4"/>
        <v>Long-term funding (Sukuk or other)</v>
      </c>
      <c r="B25" s="98">
        <f t="shared" si="5"/>
        <v>0</v>
      </c>
      <c r="C25" s="112">
        <f>IF(ISNUMBER($C$116*'2-Input - IIFS Liqudity'!I77),$C$116*'2-Input - IIFS Liqudity'!I77,"n.a.")</f>
        <v>0</v>
      </c>
      <c r="D25" s="113">
        <f>IF(ISNUMBER($C$116*'2-Input - IIFS Liqudity'!J77),$C$116*'2-Input - IIFS Liqudity'!J77,"n.a.")</f>
        <v>0</v>
      </c>
      <c r="E25" s="113">
        <f>IF(ISNUMBER($C$116*'2-Input - IIFS Liqudity'!K77),$C$116*'2-Input - IIFS Liqudity'!K77,"n.a.")</f>
        <v>0</v>
      </c>
      <c r="F25" s="113">
        <f>IF(ISNUMBER($C$116*'2-Input - IIFS Liqudity'!L77),$C$116*'2-Input - IIFS Liqudity'!L77,"n.a.")</f>
        <v>0</v>
      </c>
      <c r="G25" s="114">
        <f>IF(ISNUMBER($C$116*'2-Input - IIFS Liqudity'!M77),$C$116*'2-Input - IIFS Liqudity'!M77,"n.a.")</f>
        <v>0</v>
      </c>
    </row>
    <row r="26" spans="1:26" s="75" customFormat="1" x14ac:dyDescent="0.2">
      <c r="A26" s="155" t="str">
        <f t="shared" si="4"/>
        <v>Contigent liabilities</v>
      </c>
      <c r="B26" s="98">
        <f t="shared" si="5"/>
        <v>0</v>
      </c>
      <c r="C26" s="112">
        <f>IF(ISNUMBER($C$123*'2-Input - IIFS Liqudity'!I86),$C$123*'2-Input - IIFS Liqudity'!I86,"n.a.")</f>
        <v>0</v>
      </c>
      <c r="D26" s="113">
        <f>IF(ISNUMBER($C$123*'2-Input - IIFS Liqudity'!J86),$C$123*'2-Input - IIFS Liqudity'!J86,"n.a.")</f>
        <v>0</v>
      </c>
      <c r="E26" s="113">
        <f>IF(ISNUMBER($C$123*'2-Input - IIFS Liqudity'!K86),$C$123*'2-Input - IIFS Liqudity'!K86,"n.a.")</f>
        <v>0</v>
      </c>
      <c r="F26" s="113">
        <f>IF(ISNUMBER($C$123*'2-Input - IIFS Liqudity'!L86),$C$123*'2-Input - IIFS Liqudity'!L86,"n.a.")</f>
        <v>0</v>
      </c>
      <c r="G26" s="114">
        <f>IF(ISNUMBER($C$123*'2-Input - IIFS Liqudity'!M86),$C$123*'2-Input - IIFS Liqudity'!M86,"n.a.")</f>
        <v>0</v>
      </c>
      <c r="H26" s="634"/>
      <c r="I26" s="103"/>
      <c r="J26" s="162"/>
      <c r="K26" s="162"/>
      <c r="L26" s="162"/>
      <c r="M26" s="162"/>
      <c r="N26" s="162"/>
      <c r="O26" s="162"/>
      <c r="P26" s="162"/>
      <c r="Q26" s="162"/>
      <c r="R26" s="162"/>
      <c r="S26" s="162"/>
      <c r="T26" s="162"/>
      <c r="U26" s="162"/>
      <c r="V26" s="162"/>
      <c r="W26" s="162"/>
      <c r="X26" s="162"/>
      <c r="Y26" s="162"/>
      <c r="Z26" s="162"/>
    </row>
    <row r="27" spans="1:26" x14ac:dyDescent="0.2">
      <c r="A27" s="164" t="s">
        <v>61</v>
      </c>
      <c r="B27" s="99">
        <f t="shared" si="5"/>
        <v>61664.093100000086</v>
      </c>
      <c r="C27" s="115">
        <f>IF(ISNUMBER($C$101*'2-Input - IIFS Liqudity'!I59),$C$101*'2-Input - IIFS Liqudity'!I59,"n.a.")</f>
        <v>15411.360000000022</v>
      </c>
      <c r="D27" s="116">
        <f>IF(ISNUMBER($C$101*'2-Input - IIFS Liqudity'!J59),$C$101*'2-Input - IIFS Liqudity'!J59,"n.a.")</f>
        <v>12024.556500000017</v>
      </c>
      <c r="E27" s="116">
        <f>IF(ISNUMBER($C$101*'2-Input - IIFS Liqudity'!K59),$C$101*'2-Input - IIFS Liqudity'!K59,"n.a.")</f>
        <v>3650.6532000000052</v>
      </c>
      <c r="F27" s="116">
        <f>IF(ISNUMBER($C$101*'2-Input - IIFS Liqudity'!L59),$C$101*'2-Input - IIFS Liqudity'!L59,"n.a.")</f>
        <v>17475.248400000026</v>
      </c>
      <c r="G27" s="117">
        <f>IF(ISNUMBER($C$101*'2-Input - IIFS Liqudity'!M59),$C$101*'2-Input - IIFS Liqudity'!M59,"n.a.")</f>
        <v>13102.27500000002</v>
      </c>
      <c r="H27" s="634"/>
    </row>
    <row r="28" spans="1:26" x14ac:dyDescent="0.2">
      <c r="A28" s="163"/>
      <c r="B28" s="163"/>
      <c r="C28" s="163"/>
      <c r="D28" s="163"/>
      <c r="E28" s="163"/>
      <c r="F28" s="163"/>
      <c r="G28" s="163"/>
    </row>
    <row r="29" spans="1:26" x14ac:dyDescent="0.2">
      <c r="A29" s="152" t="s">
        <v>101</v>
      </c>
      <c r="B29" s="104" t="s">
        <v>8</v>
      </c>
      <c r="C29" s="105" t="str">
        <f>+C8</f>
        <v>IIFS1</v>
      </c>
      <c r="D29" s="105" t="str">
        <f t="shared" ref="D29:G29" si="6">+D8</f>
        <v>IIFS2</v>
      </c>
      <c r="E29" s="105" t="str">
        <f t="shared" si="6"/>
        <v>IIFS3</v>
      </c>
      <c r="F29" s="105" t="str">
        <f t="shared" si="6"/>
        <v>IIFS4</v>
      </c>
      <c r="G29" s="151" t="str">
        <f t="shared" si="6"/>
        <v>IIFS5</v>
      </c>
    </row>
    <row r="30" spans="1:26" x14ac:dyDescent="0.2">
      <c r="A30" s="153" t="s">
        <v>235</v>
      </c>
      <c r="B30" s="96">
        <f t="shared" ref="B30:B37" si="7">SUM(C30:G30)</f>
        <v>2474006.3612349047</v>
      </c>
      <c r="C30" s="183">
        <f>SUM(C31:C37)</f>
        <v>420455.56868612522</v>
      </c>
      <c r="D30" s="157">
        <f>SUM(D31:D37)</f>
        <v>541737.35851060611</v>
      </c>
      <c r="E30" s="157">
        <f>SUM(E31:E37)</f>
        <v>643538.4863022971</v>
      </c>
      <c r="F30" s="157">
        <f t="shared" ref="F30" si="8">SUM(F31:F37)</f>
        <v>489532.4442362655</v>
      </c>
      <c r="G30" s="424">
        <f>SUM(G31:G37)</f>
        <v>378742.50349961087</v>
      </c>
    </row>
    <row r="31" spans="1:26" x14ac:dyDescent="0.2">
      <c r="A31" s="154" t="str">
        <f>A21</f>
        <v>Total Customer Deposits/UPSIA</v>
      </c>
      <c r="B31" s="97">
        <f t="shared" si="7"/>
        <v>2414192.190927905</v>
      </c>
      <c r="C31" s="109">
        <f>$D$76*'2-Input - IIFS Liqudity'!I38</f>
        <v>405506.54948612524</v>
      </c>
      <c r="D31" s="110">
        <f>$D$76*'2-Input - IIFS Liqudity'!J38</f>
        <v>530073.53870560613</v>
      </c>
      <c r="E31" s="110">
        <f>$D$76*'2-Input - IIFS Liqudity'!K38</f>
        <v>639997.35269829712</v>
      </c>
      <c r="F31" s="110">
        <f>$D$76*'2-Input - IIFS Liqudity'!L38</f>
        <v>472581.4532882655</v>
      </c>
      <c r="G31" s="111">
        <f>$D$76*'2-Input - IIFS Liqudity'!M38</f>
        <v>366033.29674961086</v>
      </c>
    </row>
    <row r="32" spans="1:26" x14ac:dyDescent="0.2">
      <c r="A32" s="155" t="str">
        <f>A22</f>
        <v>Short-term Funding</v>
      </c>
      <c r="B32" s="98">
        <f t="shared" si="7"/>
        <v>0</v>
      </c>
      <c r="C32" s="112">
        <f>IF(ISNUMBER($D$104*'2-Input - IIFS Liqudity'!I63),$B$104*'2-Input - IIFS Liqudity'!I63,"n.a.")</f>
        <v>0</v>
      </c>
      <c r="D32" s="113">
        <f>IF(ISNUMBER($D$104*'2-Input - IIFS Liqudity'!J63),$B$104*'2-Input - IIFS Liqudity'!J63,"n.a.")</f>
        <v>0</v>
      </c>
      <c r="E32" s="113">
        <f>IF(ISNUMBER($D$104*'2-Input - IIFS Liqudity'!K63),$B$104*'2-Input - IIFS Liqudity'!K63,"n.a.")</f>
        <v>0</v>
      </c>
      <c r="F32" s="113">
        <f>IF(ISNUMBER($D$104*'2-Input - IIFS Liqudity'!L63),$B$104*'2-Input - IIFS Liqudity'!L63,"n.a.")</f>
        <v>0</v>
      </c>
      <c r="G32" s="114">
        <f>IF(ISNUMBER($D$104*'2-Input - IIFS Liqudity'!M63),$B$104*'2-Input - IIFS Liqudity'!M63,"n.a.")</f>
        <v>0</v>
      </c>
    </row>
    <row r="33" spans="1:7" x14ac:dyDescent="0.2">
      <c r="A33" s="155" t="str">
        <f>A23</f>
        <v>Central Bank Funding</v>
      </c>
      <c r="B33" s="98">
        <f t="shared" si="7"/>
        <v>0</v>
      </c>
      <c r="C33" s="112" t="str">
        <f>IF(ISNUMBER($D$112*'2-Input - IIFS Liqudity'!I73),$D$112*+'2-Input - IIFS Liqudity'!I73,"n.a.")</f>
        <v>n.a.</v>
      </c>
      <c r="D33" s="113" t="str">
        <f>IF(ISNUMBER($D$112*'2-Input - IIFS Liqudity'!J73),$D$112*+'2-Input - IIFS Liqudity'!J73,"n.a.")</f>
        <v>n.a.</v>
      </c>
      <c r="E33" s="113" t="str">
        <f>IF(ISNUMBER($D$112*'2-Input - IIFS Liqudity'!K73),$D$112*+'2-Input - IIFS Liqudity'!K73,"n.a.")</f>
        <v>n.a.</v>
      </c>
      <c r="F33" s="113" t="str">
        <f>IF(ISNUMBER($D$112*'2-Input - IIFS Liqudity'!L73),$D$112*+'2-Input - IIFS Liqudity'!L73,"n.a.")</f>
        <v>n.a.</v>
      </c>
      <c r="G33" s="114" t="str">
        <f>IF(ISNUMBER($D$112*'2-Input - IIFS Liqudity'!M73),$D$112*+'2-Input - IIFS Liqudity'!M73,"n.a.")</f>
        <v>n.a.</v>
      </c>
    </row>
    <row r="34" spans="1:7" x14ac:dyDescent="0.2">
      <c r="A34" s="155" t="str">
        <f>A24</f>
        <v xml:space="preserve">Intragroup funding &amp; commitment </v>
      </c>
      <c r="B34" s="98">
        <f t="shared" si="7"/>
        <v>0</v>
      </c>
      <c r="C34" s="112" t="str">
        <f>IF(ISNUMBER($D$114*'2-Input - IIFS Liqudity'!I75),$D$114*'2-Input - IIFS Liqudity'!I75,"n.a.")</f>
        <v>n.a.</v>
      </c>
      <c r="D34" s="113" t="str">
        <f>IF(ISNUMBER($D$114*'2-Input - IIFS Liqudity'!J75),$D$114*'2-Input - IIFS Liqudity'!J75,"n.a.")</f>
        <v>n.a.</v>
      </c>
      <c r="E34" s="113" t="str">
        <f>IF(ISNUMBER($D$114*'2-Input - IIFS Liqudity'!K75),$D$114*'2-Input - IIFS Liqudity'!K75,"n.a.")</f>
        <v>n.a.</v>
      </c>
      <c r="F34" s="113" t="str">
        <f>IF(ISNUMBER($D$114*'2-Input - IIFS Liqudity'!L75),$D$114*'2-Input - IIFS Liqudity'!L75,"n.a.")</f>
        <v>n.a.</v>
      </c>
      <c r="G34" s="114" t="str">
        <f>IF(ISNUMBER($D$114*'2-Input - IIFS Liqudity'!M75),$D$114*'2-Input - IIFS Liqudity'!M75,"n.a.")</f>
        <v>n.a.</v>
      </c>
    </row>
    <row r="35" spans="1:7" x14ac:dyDescent="0.2">
      <c r="A35" s="155" t="str">
        <f>A25</f>
        <v>Long-term funding (Sukuk or other)</v>
      </c>
      <c r="B35" s="98">
        <f t="shared" si="7"/>
        <v>0</v>
      </c>
      <c r="C35" s="112">
        <f>IF(ISNUMBER($D$116*'2-Input - IIFS Liqudity'!I77),$D$116*'2-Input - IIFS Liqudity'!I77,"n.a.")</f>
        <v>0</v>
      </c>
      <c r="D35" s="113">
        <f>IF(ISNUMBER($D$116*'2-Input - IIFS Liqudity'!J77),$D$116*'2-Input - IIFS Liqudity'!J77,"n.a.")</f>
        <v>0</v>
      </c>
      <c r="E35" s="113">
        <f>IF(ISNUMBER($D$116*'2-Input - IIFS Liqudity'!K77),$D$116*'2-Input - IIFS Liqudity'!K77,"n.a.")</f>
        <v>0</v>
      </c>
      <c r="F35" s="113">
        <f>IF(ISNUMBER($D$116*'2-Input - IIFS Liqudity'!L77),$D$116*'2-Input - IIFS Liqudity'!L77,"n.a.")</f>
        <v>0</v>
      </c>
      <c r="G35" s="114">
        <f>IF(ISNUMBER($D$116*'2-Input - IIFS Liqudity'!M77),$D$116*'2-Input - IIFS Liqudity'!M77,"n.a.")</f>
        <v>0</v>
      </c>
    </row>
    <row r="36" spans="1:7" x14ac:dyDescent="0.2">
      <c r="A36" s="155" t="str">
        <f t="shared" ref="A36:A37" si="9">A26</f>
        <v>Contigent liabilities</v>
      </c>
      <c r="B36" s="98">
        <f t="shared" si="7"/>
        <v>0</v>
      </c>
      <c r="C36" s="112">
        <f>IF(ISNUMBER($D$123*'2-Input - IIFS Liqudity'!I86),$D$123*'2-Input - IIFS Liqudity'!I86,"n.a.")</f>
        <v>0</v>
      </c>
      <c r="D36" s="113">
        <f>IF(ISNUMBER($D$123*'2-Input - IIFS Liqudity'!J86),$D$123*'2-Input - IIFS Liqudity'!J86,"n.a.")</f>
        <v>0</v>
      </c>
      <c r="E36" s="113">
        <f>IF(ISNUMBER($D$123*'2-Input - IIFS Liqudity'!K86),$D$123*'2-Input - IIFS Liqudity'!K86,"n.a.")</f>
        <v>0</v>
      </c>
      <c r="F36" s="113">
        <f>IF(ISNUMBER($D$123*'2-Input - IIFS Liqudity'!L86),$D$123*'2-Input - IIFS Liqudity'!L86,"n.a.")</f>
        <v>0</v>
      </c>
      <c r="G36" s="114">
        <f>IF(ISNUMBER($D$123*'2-Input - IIFS Liqudity'!M86),$D$123*'2-Input - IIFS Liqudity'!M86,"n.a.")</f>
        <v>0</v>
      </c>
    </row>
    <row r="37" spans="1:7" x14ac:dyDescent="0.2">
      <c r="A37" s="164" t="str">
        <f t="shared" si="9"/>
        <v>RPSIA</v>
      </c>
      <c r="B37" s="99">
        <f t="shared" si="7"/>
        <v>59814.170307000008</v>
      </c>
      <c r="C37" s="115">
        <f>IF(ISNUMBER($D$101*'2-Input - IIFS Liqudity'!I59),$D$101*'2-Input - IIFS Liqudity'!I59,"n.a.")</f>
        <v>14949.019200000001</v>
      </c>
      <c r="D37" s="116">
        <f>IF(ISNUMBER($D$101*'2-Input - IIFS Liqudity'!J59),$D$101*'2-Input - IIFS Liqudity'!J59,"n.a.")</f>
        <v>11663.819805000001</v>
      </c>
      <c r="E37" s="116">
        <f>IF(ISNUMBER($D$101*'2-Input - IIFS Liqudity'!K59),$D$101*'2-Input - IIFS Liqudity'!K59,"n.a.")</f>
        <v>3541.1336040000001</v>
      </c>
      <c r="F37" s="116">
        <f>IF(ISNUMBER($D$101*'2-Input - IIFS Liqudity'!L59),$D$101*'2-Input - IIFS Liqudity'!L59,"n.a.")</f>
        <v>16950.990948000002</v>
      </c>
      <c r="G37" s="117">
        <f>IF(ISNUMBER($D$101*'2-Input - IIFS Liqudity'!M59),$D$101*'2-Input - IIFS Liqudity'!M59,"n.a.")</f>
        <v>12709.206750000001</v>
      </c>
    </row>
    <row r="38" spans="1:7" x14ac:dyDescent="0.2">
      <c r="A38" s="163"/>
      <c r="B38" s="163"/>
      <c r="C38" s="163"/>
      <c r="D38" s="163"/>
      <c r="E38" s="163"/>
      <c r="F38" s="163"/>
      <c r="G38" s="163"/>
    </row>
    <row r="39" spans="1:7" x14ac:dyDescent="0.2">
      <c r="A39" s="152" t="s">
        <v>106</v>
      </c>
      <c r="B39" s="104" t="s">
        <v>8</v>
      </c>
      <c r="C39" s="105" t="str">
        <f>+C8</f>
        <v>IIFS1</v>
      </c>
      <c r="D39" s="105" t="str">
        <f t="shared" ref="D39:G39" si="10">+D8</f>
        <v>IIFS2</v>
      </c>
      <c r="E39" s="105" t="str">
        <f t="shared" si="10"/>
        <v>IIFS3</v>
      </c>
      <c r="F39" s="105" t="str">
        <f t="shared" si="10"/>
        <v>IIFS4</v>
      </c>
      <c r="G39" s="151" t="str">
        <f t="shared" si="10"/>
        <v>IIFS5</v>
      </c>
    </row>
    <row r="40" spans="1:7" x14ac:dyDescent="0.2">
      <c r="A40" s="153" t="s">
        <v>235</v>
      </c>
      <c r="B40" s="96">
        <f t="shared" ref="B40:B46" si="11">SUM(C40:G40)</f>
        <v>2317412.8891204596</v>
      </c>
      <c r="C40" s="183">
        <f t="shared" ref="C40:F40" si="12">SUM(C41:C47)</f>
        <v>394005.84284522984</v>
      </c>
      <c r="D40" s="157">
        <f t="shared" si="12"/>
        <v>507398.89944900735</v>
      </c>
      <c r="E40" s="157">
        <f t="shared" si="12"/>
        <v>602395.34535037179</v>
      </c>
      <c r="F40" s="157">
        <f t="shared" si="12"/>
        <v>458721.78741277632</v>
      </c>
      <c r="G40" s="424">
        <f>SUM(G41:G47)</f>
        <v>354891.01406307414</v>
      </c>
    </row>
    <row r="41" spans="1:7" x14ac:dyDescent="0.2">
      <c r="A41" s="154" t="str">
        <f t="shared" ref="A41:A47" si="13">A31</f>
        <v>Total Customer Deposits/UPSIA</v>
      </c>
      <c r="B41" s="97">
        <f t="shared" si="11"/>
        <v>2259393.1439226693</v>
      </c>
      <c r="C41" s="109">
        <f>$E$76*'2-Input - IIFS Liqudity'!I38</f>
        <v>379505.29422122985</v>
      </c>
      <c r="D41" s="110">
        <f>$E$76*'2-Input - IIFS Liqudity'!J38</f>
        <v>496084.99423815735</v>
      </c>
      <c r="E41" s="110">
        <f>$E$76*'2-Input - IIFS Liqudity'!K38</f>
        <v>598960.44575449184</v>
      </c>
      <c r="F41" s="110">
        <f>$E$76*'2-Input - IIFS Liqudity'!L38</f>
        <v>442279.32619321632</v>
      </c>
      <c r="G41" s="111">
        <f>$E$76*'2-Input - IIFS Liqudity'!M38</f>
        <v>342563.08351557411</v>
      </c>
    </row>
    <row r="42" spans="1:7" x14ac:dyDescent="0.2">
      <c r="A42" s="155" t="str">
        <f t="shared" si="13"/>
        <v>Short-term Funding</v>
      </c>
      <c r="B42" s="98">
        <f t="shared" si="11"/>
        <v>0</v>
      </c>
      <c r="C42" s="112">
        <f>IF(ISNUMBER($E$104*'2-Input - IIFS Liqudity'!I63),$E$104*'2-Input - IIFS Liqudity'!I63,"n.a.")</f>
        <v>0</v>
      </c>
      <c r="D42" s="113">
        <f>IF(ISNUMBER($E$104*'2-Input - IIFS Liqudity'!J63),$E$104*'2-Input - IIFS Liqudity'!J63,"n.a.")</f>
        <v>0</v>
      </c>
      <c r="E42" s="113">
        <f>IF(ISNUMBER($E$104*'2-Input - IIFS Liqudity'!K63),$E$104*'2-Input - IIFS Liqudity'!K63,"n.a.")</f>
        <v>0</v>
      </c>
      <c r="F42" s="113">
        <f>IF(ISNUMBER($E$104*'2-Input - IIFS Liqudity'!L63),$E$104*'2-Input - IIFS Liqudity'!L63,"n.a.")</f>
        <v>0</v>
      </c>
      <c r="G42" s="114">
        <f>IF(ISNUMBER($E$104*'2-Input - IIFS Liqudity'!M63),$E$104*'2-Input - IIFS Liqudity'!M63,"n.a.")</f>
        <v>0</v>
      </c>
    </row>
    <row r="43" spans="1:7" x14ac:dyDescent="0.2">
      <c r="A43" s="155" t="str">
        <f t="shared" si="13"/>
        <v>Central Bank Funding</v>
      </c>
      <c r="B43" s="98">
        <f t="shared" si="11"/>
        <v>0</v>
      </c>
      <c r="C43" s="112" t="str">
        <f>IF(ISNUMBER($E$112*'2-Input - IIFS Liqudity'!I73),$E$112*+'2-Input - IIFS Liqudity'!I73,"n.a.")</f>
        <v>n.a.</v>
      </c>
      <c r="D43" s="113" t="str">
        <f>IF(ISNUMBER($E$112*'2-Input - IIFS Liqudity'!J73),$E$112*+'2-Input - IIFS Liqudity'!J73,"n.a.")</f>
        <v>n.a.</v>
      </c>
      <c r="E43" s="113" t="str">
        <f>IF(ISNUMBER($E$112*'2-Input - IIFS Liqudity'!K73),$E$112*+'2-Input - IIFS Liqudity'!K73,"n.a.")</f>
        <v>n.a.</v>
      </c>
      <c r="F43" s="113" t="str">
        <f>IF(ISNUMBER($E$112*'2-Input - IIFS Liqudity'!L73),$E$112*+'2-Input - IIFS Liqudity'!L73,"n.a.")</f>
        <v>n.a.</v>
      </c>
      <c r="G43" s="114" t="str">
        <f>IF(ISNUMBER($E$112*'2-Input - IIFS Liqudity'!M73),$E$112*+'2-Input - IIFS Liqudity'!M73,"n.a.")</f>
        <v>n.a.</v>
      </c>
    </row>
    <row r="44" spans="1:7" x14ac:dyDescent="0.2">
      <c r="A44" s="155" t="str">
        <f t="shared" si="13"/>
        <v xml:space="preserve">Intragroup funding &amp; commitment </v>
      </c>
      <c r="B44" s="98">
        <f t="shared" si="11"/>
        <v>0</v>
      </c>
      <c r="C44" s="112" t="str">
        <f>IF(ISNUMBER($E$114*'2-Input - IIFS Liqudity'!I75),$E$114*'2-Input - IIFS Liqudity'!I75,"n.a.")</f>
        <v>n.a.</v>
      </c>
      <c r="D44" s="113" t="str">
        <f>IF(ISNUMBER($E$114*'2-Input - IIFS Liqudity'!J75),$E$114*'2-Input - IIFS Liqudity'!J75,"n.a.")</f>
        <v>n.a.</v>
      </c>
      <c r="E44" s="113" t="str">
        <f>IF(ISNUMBER($E$114*'2-Input - IIFS Liqudity'!K75),$E$114*'2-Input - IIFS Liqudity'!K75,"n.a.")</f>
        <v>n.a.</v>
      </c>
      <c r="F44" s="113" t="str">
        <f>IF(ISNUMBER($E$114*'2-Input - IIFS Liqudity'!L75),$E$114*'2-Input - IIFS Liqudity'!L75,"n.a.")</f>
        <v>n.a.</v>
      </c>
      <c r="G44" s="114" t="str">
        <f>IF(ISNUMBER($E$114*'2-Input - IIFS Liqudity'!M75),$E$114*'2-Input - IIFS Liqudity'!M75,"n.a.")</f>
        <v>n.a.</v>
      </c>
    </row>
    <row r="45" spans="1:7" x14ac:dyDescent="0.2">
      <c r="A45" s="155" t="str">
        <f t="shared" si="13"/>
        <v>Long-term funding (Sukuk or other)</v>
      </c>
      <c r="B45" s="98">
        <f t="shared" si="11"/>
        <v>0</v>
      </c>
      <c r="C45" s="112">
        <f>IF(ISNUMBER($E$116*'2-Input - IIFS Liqudity'!I77),$E$116*'2-Input - IIFS Liqudity'!I77,"n.a.")</f>
        <v>0</v>
      </c>
      <c r="D45" s="113">
        <f>IF(ISNUMBER($E$116*'2-Input - IIFS Liqudity'!J77),$E$116*'2-Input - IIFS Liqudity'!J77,"n.a.")</f>
        <v>0</v>
      </c>
      <c r="E45" s="113">
        <f>IF(ISNUMBER($E$116*'2-Input - IIFS Liqudity'!K77),$E$116*'2-Input - IIFS Liqudity'!K77,"n.a.")</f>
        <v>0</v>
      </c>
      <c r="F45" s="113">
        <f>IF(ISNUMBER($E$116*'2-Input - IIFS Liqudity'!L77),$E$116*'2-Input - IIFS Liqudity'!L77,"n.a.")</f>
        <v>0</v>
      </c>
      <c r="G45" s="114">
        <f>IF(ISNUMBER($E$116*'2-Input - IIFS Liqudity'!M77),$E$116*'2-Input - IIFS Liqudity'!M77,"n.a.")</f>
        <v>0</v>
      </c>
    </row>
    <row r="46" spans="1:7" x14ac:dyDescent="0.2">
      <c r="A46" s="155" t="str">
        <f t="shared" si="13"/>
        <v>Contigent liabilities</v>
      </c>
      <c r="B46" s="98">
        <f t="shared" si="11"/>
        <v>0</v>
      </c>
      <c r="C46" s="112">
        <f>IF(ISNUMBER($E$123*'2-Input - IIFS Liqudity'!I86),$E$123*'2-Input - IIFS Liqudity'!I86,"n.a.")</f>
        <v>0</v>
      </c>
      <c r="D46" s="113">
        <f>IF(ISNUMBER($E$123*'2-Input - IIFS Liqudity'!J86),$E$123*'2-Input - IIFS Liqudity'!J86,"n.a.")</f>
        <v>0</v>
      </c>
      <c r="E46" s="113">
        <f>IF(ISNUMBER($E$123*'2-Input - IIFS Liqudity'!K86),$E$123*'2-Input - IIFS Liqudity'!K86,"n.a.")</f>
        <v>0</v>
      </c>
      <c r="F46" s="113">
        <f>IF(ISNUMBER($E$123*'2-Input - IIFS Liqudity'!L86),$E$123*'2-Input - IIFS Liqudity'!L86,"n.a.")</f>
        <v>0</v>
      </c>
      <c r="G46" s="114">
        <f>IF(ISNUMBER($E$123*'2-Input - IIFS Liqudity'!M86),$E$123*'2-Input - IIFS Liqudity'!M86,"n.a.")</f>
        <v>0</v>
      </c>
    </row>
    <row r="47" spans="1:7" x14ac:dyDescent="0.2">
      <c r="A47" s="164" t="str">
        <f t="shared" si="13"/>
        <v>RPSIA</v>
      </c>
      <c r="B47" s="99">
        <f t="shared" ref="B47" si="14">SUM(C47:G47)</f>
        <v>58019.745197790064</v>
      </c>
      <c r="C47" s="115">
        <f>IF(ISNUMBER($E$101*'2-Input - IIFS Liqudity'!I59),$E$101*'2-Input - IIFS Liqudity'!I59,"n.a.")</f>
        <v>14500.548624000014</v>
      </c>
      <c r="D47" s="116">
        <f>IF(ISNUMBER($E$101*'2-Input - IIFS Liqudity'!J59),$E$101*'2-Input - IIFS Liqudity'!J59,"n.a.")</f>
        <v>11313.905210850011</v>
      </c>
      <c r="E47" s="116">
        <f>IF(ISNUMBER($E$101*'2-Input - IIFS Liqudity'!K59),$E$101*'2-Input - IIFS Liqudity'!K59,"n.a.")</f>
        <v>3434.8995958800033</v>
      </c>
      <c r="F47" s="116">
        <f>IF(ISNUMBER($E$101*'2-Input - IIFS Liqudity'!L59),$E$101*'2-Input - IIFS Liqudity'!L59,"n.a.")</f>
        <v>16442.461219560017</v>
      </c>
      <c r="G47" s="117">
        <f>IF(ISNUMBER($E$101*'2-Input - IIFS Liqudity'!M59),$E$101*'2-Input - IIFS Liqudity'!M59,"n.a.")</f>
        <v>12327.930547500011</v>
      </c>
    </row>
    <row r="48" spans="1:7" x14ac:dyDescent="0.2">
      <c r="A48" s="163"/>
      <c r="B48" s="163"/>
      <c r="C48" s="163"/>
      <c r="D48" s="163"/>
      <c r="E48" s="163"/>
      <c r="F48" s="163"/>
      <c r="G48" s="163"/>
    </row>
    <row r="49" spans="1:7" x14ac:dyDescent="0.2">
      <c r="A49" s="152" t="s">
        <v>112</v>
      </c>
      <c r="B49" s="104" t="s">
        <v>8</v>
      </c>
      <c r="C49" s="105" t="str">
        <f>+C8</f>
        <v>IIFS1</v>
      </c>
      <c r="D49" s="105" t="str">
        <f t="shared" ref="D49:G49" si="15">+D8</f>
        <v>IIFS2</v>
      </c>
      <c r="E49" s="105" t="str">
        <f t="shared" si="15"/>
        <v>IIFS3</v>
      </c>
      <c r="F49" s="105" t="str">
        <f t="shared" si="15"/>
        <v>IIFS4</v>
      </c>
      <c r="G49" s="151" t="str">
        <f t="shared" si="15"/>
        <v>IIFS5</v>
      </c>
    </row>
    <row r="50" spans="1:7" x14ac:dyDescent="0.2">
      <c r="A50" s="153" t="s">
        <v>235</v>
      </c>
      <c r="B50" s="96">
        <f t="shared" ref="B50:B56" si="16">SUM(C50:G50)</f>
        <v>2172540.2604356897</v>
      </c>
      <c r="C50" s="183">
        <f>SUM(C51:C57)</f>
        <v>369529.25322976767</v>
      </c>
      <c r="D50" s="157">
        <f t="shared" ref="D50" si="17">SUM(D51:D57)</f>
        <v>475632.61193659634</v>
      </c>
      <c r="E50" s="157">
        <f t="shared" ref="E50" si="18">SUM(E51:E57)</f>
        <v>564348.29179955355</v>
      </c>
      <c r="F50" s="157">
        <f t="shared" ref="F50" si="19">SUM(F51:F57)</f>
        <v>430210.21992310975</v>
      </c>
      <c r="G50" s="424">
        <f>SUM(G51:G57)</f>
        <v>332819.88354666263</v>
      </c>
    </row>
    <row r="51" spans="1:7" x14ac:dyDescent="0.2">
      <c r="A51" s="154" t="str">
        <f t="shared" ref="A51:A57" si="20">A41</f>
        <v>Total Customer Deposits/UPSIA</v>
      </c>
      <c r="B51" s="97">
        <f t="shared" si="16"/>
        <v>2116261.1075938335</v>
      </c>
      <c r="C51" s="109">
        <f>$F$76*'2-Input - IIFS Liqudity'!I38</f>
        <v>355463.72106448765</v>
      </c>
      <c r="D51" s="110">
        <f>$F$76*'2-Input - IIFS Liqudity'!J38</f>
        <v>464658.12388207181</v>
      </c>
      <c r="E51" s="110">
        <f>$F$76*'2-Input - IIFS Liqudity'!K38</f>
        <v>561016.4391915499</v>
      </c>
      <c r="F51" s="110">
        <f>$F$76*'2-Input - IIFS Liqudity'!L38</f>
        <v>414261.03254013654</v>
      </c>
      <c r="G51" s="111">
        <f>$F$76*'2-Input - IIFS Liqudity'!M38</f>
        <v>320861.79091558763</v>
      </c>
    </row>
    <row r="52" spans="1:7" x14ac:dyDescent="0.2">
      <c r="A52" s="155" t="str">
        <f t="shared" si="20"/>
        <v>Short-term Funding</v>
      </c>
      <c r="B52" s="98">
        <f t="shared" si="16"/>
        <v>0</v>
      </c>
      <c r="C52" s="112">
        <f>IF(ISNUMBER($F$104*'2-Input - IIFS Liqudity'!I63),$F$104*'2-Input - IIFS Liqudity'!I63,"n.a.")</f>
        <v>0</v>
      </c>
      <c r="D52" s="113">
        <f>IF(ISNUMBER($F$104*'2-Input - IIFS Liqudity'!J63),$F$104*'2-Input - IIFS Liqudity'!J63,"n.a.")</f>
        <v>0</v>
      </c>
      <c r="E52" s="113">
        <f>IF(ISNUMBER($F$104*'2-Input - IIFS Liqudity'!K63),$F$104*'2-Input - IIFS Liqudity'!K63,"n.a.")</f>
        <v>0</v>
      </c>
      <c r="F52" s="113">
        <f>IF(ISNUMBER($F$104*'2-Input - IIFS Liqudity'!L63),$F$104*'2-Input - IIFS Liqudity'!L63,"n.a.")</f>
        <v>0</v>
      </c>
      <c r="G52" s="114">
        <f>IF(ISNUMBER($F$104*'2-Input - IIFS Liqudity'!M63),$F$104*'2-Input - IIFS Liqudity'!M63,"n.a.")</f>
        <v>0</v>
      </c>
    </row>
    <row r="53" spans="1:7" x14ac:dyDescent="0.2">
      <c r="A53" s="155" t="str">
        <f t="shared" si="20"/>
        <v>Central Bank Funding</v>
      </c>
      <c r="B53" s="98">
        <f t="shared" si="16"/>
        <v>0</v>
      </c>
      <c r="C53" s="112" t="str">
        <f>IF(ISNUMBER($F$112*'2-Input - IIFS Liqudity'!I73),$F$112*'2-Input - IIFS Liqudity'!I73,"n.a.")</f>
        <v>n.a.</v>
      </c>
      <c r="D53" s="113" t="str">
        <f>IF(ISNUMBER($F$112*'2-Input - IIFS Liqudity'!J73),$F$112*'2-Input - IIFS Liqudity'!J73,"n.a.")</f>
        <v>n.a.</v>
      </c>
      <c r="E53" s="113" t="str">
        <f>IF(ISNUMBER($F$112*'2-Input - IIFS Liqudity'!K73),$F$112*'2-Input - IIFS Liqudity'!K73,"n.a.")</f>
        <v>n.a.</v>
      </c>
      <c r="F53" s="113" t="str">
        <f>IF(ISNUMBER($F$112*'2-Input - IIFS Liqudity'!L73),$F$112*'2-Input - IIFS Liqudity'!L73,"n.a.")</f>
        <v>n.a.</v>
      </c>
      <c r="G53" s="114" t="str">
        <f>IF(ISNUMBER($F$112*'2-Input - IIFS Liqudity'!M73),$F$112*'2-Input - IIFS Liqudity'!M73,"n.a.")</f>
        <v>n.a.</v>
      </c>
    </row>
    <row r="54" spans="1:7" x14ac:dyDescent="0.2">
      <c r="A54" s="155" t="str">
        <f t="shared" si="20"/>
        <v xml:space="preserve">Intragroup funding &amp; commitment </v>
      </c>
      <c r="B54" s="98">
        <f t="shared" si="16"/>
        <v>0</v>
      </c>
      <c r="C54" s="112" t="str">
        <f>IF(ISNUMBER($B$114*'2-Input - IIFS Liqudity'!I115),'2-Input - IIFS Liqudity'!I115,"n.a.")</f>
        <v>n.a.</v>
      </c>
      <c r="D54" s="113" t="str">
        <f>IF(ISNUMBER($B$114*'2-Input - IIFS Liqudity'!J115),'2-Input - IIFS Liqudity'!J115,"n.a.")</f>
        <v>n.a.</v>
      </c>
      <c r="E54" s="113" t="str">
        <f>IF(ISNUMBER($B$114*'2-Input - IIFS Liqudity'!K115),'2-Input - IIFS Liqudity'!K115,"n.a.")</f>
        <v>n.a.</v>
      </c>
      <c r="F54" s="113" t="str">
        <f>IF(ISNUMBER($B$114*'2-Input - IIFS Liqudity'!L115),'2-Input - IIFS Liqudity'!L115,"n.a.")</f>
        <v>n.a.</v>
      </c>
      <c r="G54" s="114" t="str">
        <f>IF(ISNUMBER($B$114*'2-Input - IIFS Liqudity'!M115),'2-Input - IIFS Liqudity'!M115,"n.a.")</f>
        <v>n.a.</v>
      </c>
    </row>
    <row r="55" spans="1:7" x14ac:dyDescent="0.2">
      <c r="A55" s="155" t="str">
        <f t="shared" si="20"/>
        <v>Long-term funding (Sukuk or other)</v>
      </c>
      <c r="B55" s="98">
        <f t="shared" si="16"/>
        <v>0</v>
      </c>
      <c r="C55" s="112">
        <f>IF(ISNUMBER($F$116*'2-Input - IIFS Liqudity'!I77),$F$116*'2-Input - IIFS Liqudity'!I77,"n.a.")</f>
        <v>0</v>
      </c>
      <c r="D55" s="113">
        <f>IF(ISNUMBER($F$116*'2-Input - IIFS Liqudity'!J77),$F$116*'2-Input - IIFS Liqudity'!J77,"n.a.")</f>
        <v>0</v>
      </c>
      <c r="E55" s="113">
        <f>IF(ISNUMBER($F$116*'2-Input - IIFS Liqudity'!K77),$F$116*'2-Input - IIFS Liqudity'!K77,"n.a.")</f>
        <v>0</v>
      </c>
      <c r="F55" s="113">
        <f>IF(ISNUMBER($F$116*'2-Input - IIFS Liqudity'!L77),$F$116*'2-Input - IIFS Liqudity'!L77,"n.a.")</f>
        <v>0</v>
      </c>
      <c r="G55" s="114">
        <f>IF(ISNUMBER($F$116*'2-Input - IIFS Liqudity'!M77),$F$116*'2-Input - IIFS Liqudity'!M77,"n.a.")</f>
        <v>0</v>
      </c>
    </row>
    <row r="56" spans="1:7" x14ac:dyDescent="0.2">
      <c r="A56" s="155" t="str">
        <f t="shared" si="20"/>
        <v>Contigent liabilities</v>
      </c>
      <c r="B56" s="98">
        <f t="shared" si="16"/>
        <v>0</v>
      </c>
      <c r="C56" s="112">
        <f>IF(ISNUMBER($F$123*'2-Input - IIFS Liqudity'!I86),$F$123*'2-Input - IIFS Liqudity'!I86,"n.a.")</f>
        <v>0</v>
      </c>
      <c r="D56" s="113">
        <f>IF(ISNUMBER($F$123*'2-Input - IIFS Liqudity'!J86),$F$123*'2-Input - IIFS Liqudity'!J86,"n.a.")</f>
        <v>0</v>
      </c>
      <c r="E56" s="113">
        <f>IF(ISNUMBER($F$123*'2-Input - IIFS Liqudity'!K86),$F$123*'2-Input - IIFS Liqudity'!K86,"n.a.")</f>
        <v>0</v>
      </c>
      <c r="F56" s="113">
        <f>IF(ISNUMBER($F$123*'2-Input - IIFS Liqudity'!L86),$F$123*'2-Input - IIFS Liqudity'!L86,"n.a.")</f>
        <v>0</v>
      </c>
      <c r="G56" s="114">
        <f>IF(ISNUMBER($F$123*'2-Input - IIFS Liqudity'!M86),$F$123*'2-Input - IIFS Liqudity'!M86,"n.a.")</f>
        <v>0</v>
      </c>
    </row>
    <row r="57" spans="1:7" x14ac:dyDescent="0.2">
      <c r="A57" s="164" t="str">
        <f t="shared" si="20"/>
        <v>RPSIA</v>
      </c>
      <c r="B57" s="99">
        <f t="shared" ref="B57" si="21">SUM(C57:G57)</f>
        <v>56279.152841856354</v>
      </c>
      <c r="C57" s="115">
        <f>IF(ISNUMBER($F$101*'2-Input - IIFS Liqudity'!I59),$F$101*'2-Input - IIFS Liqudity'!I59,"n.a.")</f>
        <v>14065.532165280014</v>
      </c>
      <c r="D57" s="116">
        <f>IF(ISNUMBER($F$101*'2-Input - IIFS Liqudity'!J59),$F$101*'2-Input - IIFS Liqudity'!J59,"n.a.")</f>
        <v>10974.488054524511</v>
      </c>
      <c r="E57" s="116">
        <f>IF(ISNUMBER($F$101*'2-Input - IIFS Liqudity'!K59),$F$101*'2-Input - IIFS Liqudity'!K59,"n.a.")</f>
        <v>3331.8526080036036</v>
      </c>
      <c r="F57" s="116">
        <f>IF(ISNUMBER($F$101*'2-Input - IIFS Liqudity'!L59),$F$101*'2-Input - IIFS Liqudity'!L59,"n.a.")</f>
        <v>15949.187382973216</v>
      </c>
      <c r="G57" s="117">
        <f>IF(ISNUMBER($F$101*'2-Input - IIFS Liqudity'!M59),$F$101*'2-Input - IIFS Liqudity'!M59,"n.a.")</f>
        <v>11958.092631075013</v>
      </c>
    </row>
    <row r="58" spans="1:7" x14ac:dyDescent="0.2">
      <c r="A58" s="163"/>
      <c r="B58" s="163"/>
      <c r="C58" s="163"/>
      <c r="D58" s="163"/>
      <c r="E58" s="163"/>
      <c r="F58" s="163"/>
      <c r="G58" s="163"/>
    </row>
    <row r="59" spans="1:7" x14ac:dyDescent="0.2">
      <c r="A59" s="165" t="s">
        <v>237</v>
      </c>
      <c r="B59" s="166">
        <v>0.25</v>
      </c>
      <c r="C59" s="166">
        <v>0.5</v>
      </c>
      <c r="D59" s="166">
        <v>0.75</v>
      </c>
      <c r="E59" s="166">
        <v>1</v>
      </c>
      <c r="F59" s="163"/>
      <c r="G59" s="163"/>
    </row>
    <row r="60" spans="1:7" x14ac:dyDescent="0.2">
      <c r="A60" s="165" t="s">
        <v>238</v>
      </c>
      <c r="B60" s="167">
        <f>PERCENTILE('2-Input - IIFS Liqudity'!$I$90:$M$90,'5-Calculation'!B59)</f>
        <v>16294449.189397499</v>
      </c>
      <c r="C60" s="167">
        <f>PERCENTILE('2-Input - IIFS Liqudity'!$I$90:$M$90,'5-Calculation'!C59)</f>
        <v>16447157.782196999</v>
      </c>
      <c r="D60" s="167">
        <f>PERCENTILE('2-Input - IIFS Liqudity'!$I$90:$M$90,'5-Calculation'!D59)</f>
        <v>16545896.7205882</v>
      </c>
      <c r="E60" s="167">
        <f>PERCENTILE('2-Input - IIFS Liqudity'!$I$90:$M$90,'5-Calculation'!E59)</f>
        <v>16849328.640699401</v>
      </c>
      <c r="F60" s="163"/>
      <c r="G60" s="163"/>
    </row>
    <row r="61" spans="1:7" x14ac:dyDescent="0.2">
      <c r="A61" s="165" t="s">
        <v>239</v>
      </c>
      <c r="B61" s="167">
        <f>SUMIF('2-Input - IIFS Liqudity'!$I$90:$M$90,"&lt;" &amp; B60)</f>
        <v>15947302.0410292</v>
      </c>
      <c r="C61" s="167">
        <f>SUMIF('2-Input - IIFS Liqudity'!$I$90:$M$90,"&lt;" &amp; C60)</f>
        <v>32241751.230426699</v>
      </c>
      <c r="D61" s="167">
        <f>SUMIF('2-Input - IIFS Liqudity'!$I$90:$M$90,"&lt;" &amp; D60)</f>
        <v>48688909.012623698</v>
      </c>
      <c r="E61" s="167">
        <f>SUMIF('2-Input - IIFS Liqudity'!$I$90:$M$90,"&lt;" &amp; E60)</f>
        <v>65234805.733211897</v>
      </c>
      <c r="F61" s="163"/>
      <c r="G61" s="163"/>
    </row>
    <row r="62" spans="1:7" x14ac:dyDescent="0.2">
      <c r="A62" s="163"/>
      <c r="B62" s="163"/>
      <c r="C62" s="163"/>
      <c r="D62" s="163"/>
      <c r="E62" s="163"/>
      <c r="F62" s="163"/>
      <c r="G62" s="163"/>
    </row>
    <row r="63" spans="1:7" s="451" customFormat="1" ht="15" x14ac:dyDescent="0.25">
      <c r="A63" s="152" t="s">
        <v>433</v>
      </c>
      <c r="B63" s="104" t="s">
        <v>79</v>
      </c>
      <c r="C63" s="457" t="s">
        <v>191</v>
      </c>
      <c r="D63" s="457" t="s">
        <v>192</v>
      </c>
      <c r="E63" s="457" t="s">
        <v>193</v>
      </c>
      <c r="F63" s="457" t="s">
        <v>194</v>
      </c>
      <c r="G63" s="608" t="s">
        <v>195</v>
      </c>
    </row>
    <row r="64" spans="1:7" s="451" customFormat="1" ht="15" x14ac:dyDescent="0.25">
      <c r="A64" s="153" t="s">
        <v>349</v>
      </c>
      <c r="B64" s="452">
        <f>SUM(C64:G64)</f>
        <v>3734400.0483990158</v>
      </c>
      <c r="C64" s="183">
        <f>SUM(C65:C71)</f>
        <v>627258.95797263237</v>
      </c>
      <c r="D64" s="157">
        <f>SUM(D65:D71)</f>
        <v>819945.75909734063</v>
      </c>
      <c r="E64" s="157">
        <f>SUM(E65:E71)</f>
        <v>989981.7230264314</v>
      </c>
      <c r="F64" s="157">
        <f t="shared" ref="F64" si="22">SUM(F65:F71)</f>
        <v>731013.96345494129</v>
      </c>
      <c r="G64" s="424">
        <f>SUM(G65:G71)</f>
        <v>566199.64484766999</v>
      </c>
    </row>
    <row r="65" spans="1:9" s="451" customFormat="1" ht="15" x14ac:dyDescent="0.25">
      <c r="A65" s="154" t="str">
        <f t="shared" ref="A65:A71" si="23">+A10</f>
        <v>Total Customer Deposits/UPSIA</v>
      </c>
      <c r="B65" s="468">
        <f t="shared" ref="B65:B68" si="24">SUM(C65:G65)</f>
        <v>3734400.0483990158</v>
      </c>
      <c r="C65" s="458">
        <f>+$I$76*'2-Input - IIFS Liqudity'!I38</f>
        <v>627258.95797263237</v>
      </c>
      <c r="D65" s="459">
        <f>+$I$76*'2-Input - IIFS Liqudity'!J38</f>
        <v>819945.75909734063</v>
      </c>
      <c r="E65" s="459">
        <f>+$I$76*'2-Input - IIFS Liqudity'!K38</f>
        <v>989981.7230264314</v>
      </c>
      <c r="F65" s="459">
        <f>+$I$76*'2-Input - IIFS Liqudity'!L38</f>
        <v>731013.96345494129</v>
      </c>
      <c r="G65" s="460">
        <f>+$I$76*'2-Input - IIFS Liqudity'!M38</f>
        <v>566199.64484766999</v>
      </c>
    </row>
    <row r="66" spans="1:9" s="451" customFormat="1" ht="15" x14ac:dyDescent="0.25">
      <c r="A66" s="154" t="str">
        <f t="shared" si="23"/>
        <v>Short-term Funding</v>
      </c>
      <c r="B66" s="469">
        <f t="shared" si="24"/>
        <v>0</v>
      </c>
      <c r="C66" s="461">
        <f>+$I$104*'2-Input - IIFS Liqudity'!I63</f>
        <v>0</v>
      </c>
      <c r="D66" s="462">
        <f>+$I$104*'2-Input - IIFS Liqudity'!J63</f>
        <v>0</v>
      </c>
      <c r="E66" s="462">
        <f>+$I$104*'2-Input - IIFS Liqudity'!K63</f>
        <v>0</v>
      </c>
      <c r="F66" s="462">
        <f>+$I$104*'2-Input - IIFS Liqudity'!L63</f>
        <v>0</v>
      </c>
      <c r="G66" s="463">
        <f>+$I$104*'2-Input - IIFS Liqudity'!M63</f>
        <v>0</v>
      </c>
    </row>
    <row r="67" spans="1:9" s="451" customFormat="1" ht="15" x14ac:dyDescent="0.25">
      <c r="A67" s="154" t="str">
        <f t="shared" si="23"/>
        <v>Central Bank Funding</v>
      </c>
      <c r="B67" s="469">
        <f t="shared" si="24"/>
        <v>0</v>
      </c>
      <c r="C67" s="461" t="str">
        <f>IF(ISNUMBER(+$I$112*'2-Input - IIFS Liqudity'!I73), (+$I$112*'2-Input - IIFS Liqudity'!I73),"n.a")</f>
        <v>n.a</v>
      </c>
      <c r="D67" s="462" t="str">
        <f>IF(ISNUMBER(+$I$112*'2-Input - IIFS Liqudity'!J73), (+$I$112*'2-Input - IIFS Liqudity'!J73),"n.a")</f>
        <v>n.a</v>
      </c>
      <c r="E67" s="462" t="str">
        <f>IF(ISNUMBER(+$I$112*'2-Input - IIFS Liqudity'!K73), (+$I$112*'2-Input - IIFS Liqudity'!K73),"n.a")</f>
        <v>n.a</v>
      </c>
      <c r="F67" s="462" t="str">
        <f>IF(ISNUMBER(+$I$112*'2-Input - IIFS Liqudity'!L73), (+$I$112*'2-Input - IIFS Liqudity'!L73),"n.a")</f>
        <v>n.a</v>
      </c>
      <c r="G67" s="463" t="str">
        <f>IF(ISNUMBER(+$I$112*'2-Input - IIFS Liqudity'!M73), (+$I$112*'2-Input - IIFS Liqudity'!M73),"n.a")</f>
        <v>n.a</v>
      </c>
    </row>
    <row r="68" spans="1:9" s="451" customFormat="1" ht="15" x14ac:dyDescent="0.25">
      <c r="A68" s="154" t="str">
        <f t="shared" si="23"/>
        <v xml:space="preserve">Intragroup funding &amp; commitment </v>
      </c>
      <c r="B68" s="469">
        <f t="shared" si="24"/>
        <v>0</v>
      </c>
      <c r="C68" s="461" t="str">
        <f>IF(ISNUMBER($I$114*'2-Input - IIFS Liqudity'!I129),'2-Input - IIFS Liqudity'!I129,"n.a.")</f>
        <v>n.a.</v>
      </c>
      <c r="D68" s="462" t="str">
        <f>IF(ISNUMBER($I$114*'2-Input - IIFS Liqudity'!J129),'2-Input - IIFS Liqudity'!J129,"n.a.")</f>
        <v>n.a.</v>
      </c>
      <c r="E68" s="462" t="str">
        <f>IF(ISNUMBER($I$114*'2-Input - IIFS Liqudity'!K129),'2-Input - IIFS Liqudity'!K129,"n.a.")</f>
        <v>n.a.</v>
      </c>
      <c r="F68" s="462" t="str">
        <f>IF(ISNUMBER($I$114*'2-Input - IIFS Liqudity'!L129),'2-Input - IIFS Liqudity'!L129,"n.a.")</f>
        <v>n.a.</v>
      </c>
      <c r="G68" s="463" t="str">
        <f>IF(ISNUMBER($I$114*'2-Input - IIFS Liqudity'!M129),'2-Input - IIFS Liqudity'!M129,"n.a.")</f>
        <v>n.a.</v>
      </c>
    </row>
    <row r="69" spans="1:9" s="451" customFormat="1" ht="15" x14ac:dyDescent="0.25">
      <c r="A69" s="154" t="str">
        <f t="shared" si="23"/>
        <v>Long-term funding (Sukuk or other)</v>
      </c>
      <c r="B69" s="469">
        <f>SUM(C69:G69)</f>
        <v>0</v>
      </c>
      <c r="C69" s="461">
        <f>IF(ISNUMBER($I$116*'2-Input - IIFS Liqudity'!I91),$F$116*'2-Input - IIFS Liqudity'!I91,"n.a.")</f>
        <v>0</v>
      </c>
      <c r="D69" s="462">
        <f>IF(ISNUMBER($I$116*'2-Input - IIFS Liqudity'!J91),$F$116*'2-Input - IIFS Liqudity'!J91,"n.a.")</f>
        <v>0</v>
      </c>
      <c r="E69" s="462">
        <f>IF(ISNUMBER($I$116*'2-Input - IIFS Liqudity'!K91),$F$116*'2-Input - IIFS Liqudity'!K91,"n.a.")</f>
        <v>0</v>
      </c>
      <c r="F69" s="462">
        <f>IF(ISNUMBER($I$116*'2-Input - IIFS Liqudity'!L91),$F$116*'2-Input - IIFS Liqudity'!L91,"n.a.")</f>
        <v>0</v>
      </c>
      <c r="G69" s="463">
        <f>IF(ISNUMBER($I$116*'2-Input - IIFS Liqudity'!M91),$F$116*'2-Input - IIFS Liqudity'!M91,"n.a.")</f>
        <v>0</v>
      </c>
    </row>
    <row r="70" spans="1:9" s="451" customFormat="1" ht="15" x14ac:dyDescent="0.25">
      <c r="A70" s="154" t="str">
        <f>+A15</f>
        <v>Contigent liabilities</v>
      </c>
      <c r="B70" s="469">
        <f>SUM(C70:G70)</f>
        <v>0</v>
      </c>
      <c r="C70" s="461" t="str">
        <f>IF(ISNUMBER($I$123*'2-Input - IIFS Liqudity'!I100),$F$123*'2-Input - IIFS Liqudity'!I100,"n.a.")</f>
        <v>n.a.</v>
      </c>
      <c r="D70" s="462" t="str">
        <f>IF(ISNUMBER($I$123*'2-Input - IIFS Liqudity'!J100),$F$123*'2-Input - IIFS Liqudity'!J100,"n.a.")</f>
        <v>n.a.</v>
      </c>
      <c r="E70" s="462" t="str">
        <f>IF(ISNUMBER($I$123*'2-Input - IIFS Liqudity'!K100),$F$123*'2-Input - IIFS Liqudity'!K100,"n.a.")</f>
        <v>n.a.</v>
      </c>
      <c r="F70" s="462" t="str">
        <f>IF(ISNUMBER($I$123*'2-Input - IIFS Liqudity'!L100),$F$123*'2-Input - IIFS Liqudity'!L100,"n.a.")</f>
        <v>n.a.</v>
      </c>
      <c r="G70" s="463" t="str">
        <f>IF(ISNUMBER($I$123*'2-Input - IIFS Liqudity'!M100),$F$123*'2-Input - IIFS Liqudity'!M100,"n.a.")</f>
        <v>n.a.</v>
      </c>
    </row>
    <row r="71" spans="1:9" s="451" customFormat="1" ht="15" x14ac:dyDescent="0.25">
      <c r="A71" s="453" t="str">
        <f t="shared" si="23"/>
        <v>RPSIA</v>
      </c>
      <c r="B71" s="470">
        <f>SUM(C71:G71)</f>
        <v>0</v>
      </c>
      <c r="C71" s="455">
        <f>+$I$101*'2-Input - IIFS Liqudity'!I59</f>
        <v>0</v>
      </c>
      <c r="D71" s="464">
        <f>+$I$101*'2-Input - IIFS Liqudity'!J59</f>
        <v>0</v>
      </c>
      <c r="E71" s="464">
        <f>+$I$101*'2-Input - IIFS Liqudity'!K59</f>
        <v>0</v>
      </c>
      <c r="F71" s="464">
        <f>+$I$101*'2-Input - IIFS Liqudity'!L59</f>
        <v>0</v>
      </c>
      <c r="G71" s="465">
        <f>+$I$101*'2-Input - IIFS Liqudity'!M59</f>
        <v>0</v>
      </c>
    </row>
    <row r="72" spans="1:9" s="451" customFormat="1" ht="15" x14ac:dyDescent="0.25">
      <c r="A72" s="156" t="s">
        <v>350</v>
      </c>
      <c r="B72" s="454">
        <f>SUM(C72:G72)</f>
        <v>22285015.5</v>
      </c>
      <c r="C72" s="456">
        <f>SUMPRODUCT('2-Input - IIFS Liqudity'!I91:I103*'3-Assumptions'!$H$85:$H$97)</f>
        <v>4301737.8</v>
      </c>
      <c r="D72" s="466">
        <f>SUMPRODUCT('2-Input - IIFS Liqudity'!J91:J103*'3-Assumptions'!$H$85:$H$97)</f>
        <v>4705496.8000000007</v>
      </c>
      <c r="E72" s="466">
        <f>SUMPRODUCT('2-Input - IIFS Liqudity'!K91:K103*'3-Assumptions'!$H$85:$H$97)</f>
        <v>2970590.5</v>
      </c>
      <c r="F72" s="466">
        <f>SUMPRODUCT('2-Input - IIFS Liqudity'!L91:L103*'3-Assumptions'!$H$85:$H$97)</f>
        <v>4495354.5999999996</v>
      </c>
      <c r="G72" s="467">
        <f>SUMPRODUCT('2-Input - IIFS Liqudity'!M91:M103*'3-Assumptions'!$H$85:$H$97)</f>
        <v>5811835.8000000007</v>
      </c>
    </row>
    <row r="73" spans="1:9" ht="15.75" customHeight="1" x14ac:dyDescent="0.2">
      <c r="A73" s="163"/>
      <c r="B73" s="163"/>
      <c r="C73" s="163"/>
      <c r="D73" s="163"/>
      <c r="E73" s="163"/>
      <c r="F73" s="163"/>
      <c r="G73" s="163"/>
    </row>
    <row r="74" spans="1:9" x14ac:dyDescent="0.2">
      <c r="A74" s="158"/>
      <c r="B74" s="935" t="s">
        <v>144</v>
      </c>
      <c r="C74" s="936"/>
      <c r="D74" s="936"/>
      <c r="E74" s="936"/>
      <c r="F74" s="936"/>
      <c r="G74" s="937"/>
      <c r="H74" s="610"/>
      <c r="I74" s="611" t="s">
        <v>348</v>
      </c>
    </row>
    <row r="75" spans="1:9" ht="33.75" customHeight="1" x14ac:dyDescent="0.2">
      <c r="A75" s="158"/>
      <c r="B75" s="168" t="s">
        <v>240</v>
      </c>
      <c r="C75" s="169" t="s">
        <v>241</v>
      </c>
      <c r="D75" s="169" t="s">
        <v>242</v>
      </c>
      <c r="E75" s="169" t="s">
        <v>243</v>
      </c>
      <c r="F75" s="169" t="s">
        <v>244</v>
      </c>
      <c r="G75" s="169" t="s">
        <v>245</v>
      </c>
      <c r="I75" s="609" t="s">
        <v>351</v>
      </c>
    </row>
    <row r="76" spans="1:9" x14ac:dyDescent="0.2">
      <c r="A76" s="170" t="s">
        <v>155</v>
      </c>
      <c r="B76" s="184">
        <f>((B77*'2-Input - IIFS Liqudity'!$G$39)+(B89*'2-Input - IIFS Liqudity'!$G$48))/'2-Input - IIFS Liqudity'!$G$38</f>
        <v>5.353574048016236E-2</v>
      </c>
      <c r="C76" s="184">
        <f>((C77*'2-Input - IIFS Liqudity'!$G$39)+(C89*'2-Input - IIFS Liqudity'!$G$48))/'2-Input - IIFS Liqudity'!$G$38</f>
        <v>5.0019851844869241E-2</v>
      </c>
      <c r="D76" s="184">
        <f>((D77*'2-Input - IIFS Liqudity'!$G$39)+(D89*'2-Input - IIFS Liqudity'!$G$48))/'2-Input - IIFS Liqudity'!$G$38</f>
        <v>4.6773796053096013E-2</v>
      </c>
      <c r="E76" s="184">
        <f>((E77*'2-Input - IIFS Liqudity'!$G$39)+(E89*'2-Input - IIFS Liqudity'!$G$48))/'2-Input - IIFS Liqudity'!$G$38</f>
        <v>4.3774640028548702E-2</v>
      </c>
      <c r="F76" s="184">
        <f>((F77*'2-Input - IIFS Liqudity'!$G$39)+(F89*'2-Input - IIFS Liqudity'!$G$48))/'2-Input - IIFS Liqudity'!$G$38</f>
        <v>4.1001526644673443E-2</v>
      </c>
      <c r="G76" s="185">
        <f>SUM(B76:F76)</f>
        <v>0.23510555505134975</v>
      </c>
      <c r="I76" s="184">
        <f>((I77*'2-Input - IIFS Liqudity'!$G$39)+(I89*'2-Input - IIFS Liqudity'!$G$48))/'2-Input - IIFS Liqudity'!$G$38</f>
        <v>7.2352179292466151E-2</v>
      </c>
    </row>
    <row r="77" spans="1:9" x14ac:dyDescent="0.2">
      <c r="A77" s="171" t="s">
        <v>448</v>
      </c>
      <c r="B77" s="186">
        <f>((B78*'2-Input - IIFS Liqudity'!$G$40)+(B81*'2-Input - IIFS Liqudity'!$G$43))/'2-Input - IIFS Liqudity'!$G$39</f>
        <v>5.8000000000000003E-2</v>
      </c>
      <c r="C77" s="186">
        <f>((C78*'2-Input - IIFS Liqudity'!$G$40)+(C81*'2-Input - IIFS Liqudity'!$G$43))/'2-Input - IIFS Liqudity'!$G$39</f>
        <v>5.3460000000000001E-2</v>
      </c>
      <c r="D77" s="186">
        <f>((D78*'2-Input - IIFS Liqudity'!$G$40)+(D81*'2-Input - IIFS Liqudity'!$G$43))/'2-Input - IIFS Liqudity'!$G$39</f>
        <v>4.933619999999999E-2</v>
      </c>
      <c r="E77" s="186">
        <f>((E78*'2-Input - IIFS Liqudity'!$G$40)+(E81*'2-Input - IIFS Liqudity'!$G$43))/'2-Input - IIFS Liqudity'!$G$39</f>
        <v>4.5588113999999999E-2</v>
      </c>
      <c r="F77" s="186">
        <f>((F78*'2-Input - IIFS Liqudity'!$G$40)+(F81*'2-Input - IIFS Liqudity'!$G$43))/'2-Input - IIFS Liqudity'!$G$39</f>
        <v>4.2179270579999997E-2</v>
      </c>
      <c r="G77" s="186">
        <f>SUM(B77:F77)</f>
        <v>0.24856358458</v>
      </c>
      <c r="I77" s="186">
        <f>((I78*'2-Input - IIFS Liqudity'!$G$40)+(I81*'2-Input - IIFS Liqudity'!$G$43))/'2-Input - IIFS Liqudity'!$G$39</f>
        <v>0.14200000000000002</v>
      </c>
    </row>
    <row r="78" spans="1:9" x14ac:dyDescent="0.2">
      <c r="A78" s="172" t="str">
        <f>+'3-Assumptions'!A12</f>
        <v>Retail Deposit and Small Business Customer</v>
      </c>
      <c r="B78" s="186">
        <f>+'3-Assumptions'!B12</f>
        <v>0.03</v>
      </c>
      <c r="C78" s="187">
        <f>IF(ISNUMBER(1-(1-B78)*(1-B78)-B78),1-(1-B78)*(1-B78)-B78,"n.a.")</f>
        <v>2.9100000000000042E-2</v>
      </c>
      <c r="D78" s="188">
        <f>IF(ISNUMBER(1-(1-$B78)*(1-$B78)*(1-$B78)-SUM(B78:C78)),1-(1-$B78)*(1-$B78)*(1-$B78)-SUM(B78:C78),"n.a.")</f>
        <v>2.8227000000000002E-2</v>
      </c>
      <c r="E78" s="188">
        <f>IF(ISNUMBER(1-(1-$B78)*(1-$B78)*(1-$B78)*(1-$B78)-SUM(B78:D78)),1-(1-$B78)*(1-$B78)*(1-$B78)*(1-$B78)-SUM(B78:D78),"n.a.")</f>
        <v>2.7380190000000026E-2</v>
      </c>
      <c r="F78" s="186">
        <f>IF(ISNUMBER(1-(1-$B78)*(1-$B78)*(1-$B78)*(1-$B78)*(1-$B78)-SUM(B78:E78)),1-(1-$B78)*(1-$B78)*(1-$B78)*(1-$B78)*(1-$B78)-SUM(B78:E78),"n.a.")</f>
        <v>2.6558784300000027E-2</v>
      </c>
      <c r="G78" s="189">
        <f>SUM(B78:F78)</f>
        <v>0.1412659743000001</v>
      </c>
      <c r="I78" s="186">
        <v>7.0000000000000007E-2</v>
      </c>
    </row>
    <row r="79" spans="1:9" x14ac:dyDescent="0.2">
      <c r="A79" s="173"/>
      <c r="B79" s="190"/>
      <c r="C79" s="191"/>
      <c r="D79" s="192"/>
      <c r="E79" s="192"/>
      <c r="F79" s="190"/>
      <c r="G79" s="193">
        <f t="shared" ref="G79:G89" si="25">SUM(B79:F79)</f>
        <v>0</v>
      </c>
      <c r="I79" s="190"/>
    </row>
    <row r="80" spans="1:9" x14ac:dyDescent="0.2">
      <c r="A80" s="173"/>
      <c r="B80" s="190"/>
      <c r="C80" s="191"/>
      <c r="D80" s="192"/>
      <c r="E80" s="192"/>
      <c r="F80" s="190"/>
      <c r="G80" s="193">
        <f t="shared" si="25"/>
        <v>0</v>
      </c>
      <c r="I80" s="190"/>
    </row>
    <row r="81" spans="1:9" x14ac:dyDescent="0.2">
      <c r="A81" s="173" t="str">
        <f>+'3-Assumptions'!A15</f>
        <v>Wholesale Customer</v>
      </c>
      <c r="B81" s="190">
        <f>+'3-Assumptions'!B15</f>
        <v>0.1</v>
      </c>
      <c r="C81" s="191">
        <f t="shared" ref="C81" si="26">IF(ISNUMBER(1-(1-B81)*(1-B81)-B81),1-(1-B81)*(1-B81)-B81,"n.a.")</f>
        <v>8.9999999999999941E-2</v>
      </c>
      <c r="D81" s="192">
        <f t="shared" ref="D81" si="27">IF(ISNUMBER(1-(1-$B81)*(1-$B81)*(1-$B81)-SUM(B81:C81)),1-(1-$B81)*(1-$B81)*(1-$B81)-SUM(B81:C81),"n.a.")</f>
        <v>8.0999999999999961E-2</v>
      </c>
      <c r="E81" s="192">
        <f t="shared" ref="E81" si="28">IF(ISNUMBER(1-(1-$B81)*(1-$B81)*(1-$B81)*(1-$B81)-SUM(B81:D81)),1-(1-$B81)*(1-$B81)*(1-$B81)*(1-$B81)-SUM(B81:D81),"n.a.")</f>
        <v>7.2899999999999965E-2</v>
      </c>
      <c r="F81" s="190">
        <f t="shared" ref="F81" si="29">IF(ISNUMBER(1-(1-$B81)*(1-$B81)*(1-$B81)*(1-$B81)*(1-$B81)-SUM(B81:E81)),1-(1-$B81)*(1-$B81)*(1-$B81)*(1-$B81)*(1-$B81)-SUM(B81:E81),"n.a.")</f>
        <v>6.5609999999999946E-2</v>
      </c>
      <c r="G81" s="193">
        <f t="shared" si="25"/>
        <v>0.40950999999999982</v>
      </c>
      <c r="I81" s="190">
        <v>0.25</v>
      </c>
    </row>
    <row r="82" spans="1:9" x14ac:dyDescent="0.2">
      <c r="A82" s="173"/>
      <c r="B82" s="190"/>
      <c r="C82" s="191"/>
      <c r="D82" s="192"/>
      <c r="E82" s="192"/>
      <c r="F82" s="190"/>
      <c r="G82" s="193">
        <f t="shared" si="25"/>
        <v>0</v>
      </c>
      <c r="I82" s="190"/>
    </row>
    <row r="83" spans="1:9" x14ac:dyDescent="0.2">
      <c r="A83" s="173"/>
      <c r="B83" s="190"/>
      <c r="C83" s="191"/>
      <c r="D83" s="192"/>
      <c r="E83" s="192"/>
      <c r="F83" s="190"/>
      <c r="G83" s="193">
        <f t="shared" si="25"/>
        <v>0</v>
      </c>
      <c r="I83" s="190"/>
    </row>
    <row r="84" spans="1:9" x14ac:dyDescent="0.2">
      <c r="A84" s="173"/>
      <c r="B84" s="190"/>
      <c r="C84" s="191"/>
      <c r="D84" s="192"/>
      <c r="E84" s="192"/>
      <c r="F84" s="190"/>
      <c r="G84" s="193">
        <f t="shared" si="25"/>
        <v>0</v>
      </c>
      <c r="I84" s="190"/>
    </row>
    <row r="85" spans="1:9" x14ac:dyDescent="0.2">
      <c r="A85" s="173"/>
      <c r="B85" s="190"/>
      <c r="C85" s="191"/>
      <c r="D85" s="192"/>
      <c r="E85" s="192"/>
      <c r="F85" s="190"/>
      <c r="G85" s="193">
        <f t="shared" si="25"/>
        <v>0</v>
      </c>
      <c r="I85" s="190"/>
    </row>
    <row r="86" spans="1:9" x14ac:dyDescent="0.2">
      <c r="A86" s="173"/>
      <c r="B86" s="190"/>
      <c r="C86" s="191"/>
      <c r="D86" s="192"/>
      <c r="E86" s="192"/>
      <c r="F86" s="190"/>
      <c r="G86" s="193">
        <f t="shared" si="25"/>
        <v>0</v>
      </c>
      <c r="I86" s="190"/>
    </row>
    <row r="87" spans="1:9" x14ac:dyDescent="0.2">
      <c r="A87" s="174"/>
      <c r="B87" s="194"/>
      <c r="C87" s="195"/>
      <c r="D87" s="196"/>
      <c r="E87" s="196"/>
      <c r="F87" s="194"/>
      <c r="G87" s="197">
        <f t="shared" si="25"/>
        <v>0</v>
      </c>
      <c r="I87" s="194"/>
    </row>
    <row r="88" spans="1:9" x14ac:dyDescent="0.2">
      <c r="A88" s="175"/>
      <c r="B88" s="158"/>
      <c r="C88" s="158"/>
      <c r="E88" s="176"/>
      <c r="F88" s="163"/>
      <c r="G88" s="163"/>
      <c r="I88" s="158"/>
    </row>
    <row r="89" spans="1:9" x14ac:dyDescent="0.2">
      <c r="A89" s="171" t="str">
        <f>'2-Input - IIFS Liqudity'!C48</f>
        <v>Term Deposits/UPSIA</v>
      </c>
      <c r="B89" s="186">
        <f>((B90*'2-Input - IIFS Liqudity'!$G$49)+(B93*'2-Input - IIFS Liqudity'!$G$52))/'2-Input - IIFS Liqudity'!$G$48</f>
        <v>4.9965698797780587E-2</v>
      </c>
      <c r="C89" s="186">
        <f>((C90*'2-Input - IIFS Liqudity'!$G$49)+(C93*'2-Input - IIFS Liqudity'!$G$52))/'2-Input - IIFS Liqudity'!$G$48</f>
        <v>4.7268785905980396E-2</v>
      </c>
      <c r="D89" s="186">
        <f>((D90*'2-Input - IIFS Liqudity'!$G$49)+(D93*'2-Input - IIFS Liqudity'!$G$52))/'2-Input - IIFS Liqudity'!$G$48</f>
        <v>4.472465691660614E-2</v>
      </c>
      <c r="E89" s="186">
        <f>((E90*'2-Input - IIFS Liqudity'!$G$49)+(E93*'2-Input - IIFS Liqudity'!$G$52))/'2-Input - IIFS Liqudity'!$G$48</f>
        <v>4.2324415721644824E-2</v>
      </c>
      <c r="F89" s="186">
        <f>((F90*'2-Input - IIFS Liqudity'!$G$49)+(F93*'2-Input - IIFS Liqudity'!$G$52))/'2-Input - IIFS Liqudity'!$G$48</f>
        <v>4.0059691851780155E-2</v>
      </c>
      <c r="G89" s="185">
        <f t="shared" si="25"/>
        <v>0.22434324919379209</v>
      </c>
      <c r="I89" s="186">
        <f>((I90*'2-Input - IIFS Liqudity'!$G$49)+(I93*'2-Input - IIFS Liqudity'!$G$52))/'2-Input - IIFS Liqudity'!$G$48</f>
        <v>1.6655232932593529E-2</v>
      </c>
    </row>
    <row r="90" spans="1:9" x14ac:dyDescent="0.2">
      <c r="A90" s="173" t="str">
        <f>'3-Assumptions'!A24</f>
        <v>Retail Deposits</v>
      </c>
      <c r="B90" s="186">
        <f>+'3-Assumptions'!B24</f>
        <v>0.03</v>
      </c>
      <c r="C90" s="189">
        <f>IF(ISNUMBER(1-(1-B90)*(1-B90)-B90),1-(1-B90)*(1-B90)-B90,"n.a.")</f>
        <v>2.9100000000000042E-2</v>
      </c>
      <c r="D90" s="186">
        <f>IF(ISNUMBER(1-(1-$B90)*(1-$B90)*(1-$B90)-SUM(B90:C90)),1-(1-$B90)*(1-$B90)*(1-$B90)-SUM(B90:C90),"n.a.")</f>
        <v>2.8227000000000002E-2</v>
      </c>
      <c r="E90" s="186">
        <f>IF(ISNUMBER(1-(1-$B90)*(1-$B90)*(1-$B90)*(1-$B90)-SUM(B90:D90)),1-(1-$B90)*(1-$B90)*(1-$B90)*(1-$B90)-SUM(B90:D90),"n.a.")</f>
        <v>2.7380190000000026E-2</v>
      </c>
      <c r="F90" s="186">
        <f>IF(ISNUMBER(1-(1-$B90)*(1-$B90)*(1-$B90)*(1-$B90)*(1-$B90)-SUM(B90:E90)),1-(1-$B90)*(1-$B90)*(1-$B90)*(1-$B90)*(1-$B90)-SUM(B90:E90),"n.a.")</f>
        <v>2.6558784300000027E-2</v>
      </c>
      <c r="G90" s="186">
        <f>SUM(B90:F90)</f>
        <v>0.1412659743000001</v>
      </c>
      <c r="I90" s="186">
        <f>+'3-Assumptions'!D24</f>
        <v>0.01</v>
      </c>
    </row>
    <row r="91" spans="1:9" x14ac:dyDescent="0.2">
      <c r="A91" s="173"/>
      <c r="B91" s="190"/>
      <c r="C91" s="193"/>
      <c r="D91" s="190"/>
      <c r="E91" s="190"/>
      <c r="F91" s="190"/>
      <c r="G91" s="190">
        <f t="shared" ref="G91:G99" si="30">SUM(B91:F91)</f>
        <v>0</v>
      </c>
      <c r="I91" s="190"/>
    </row>
    <row r="92" spans="1:9" x14ac:dyDescent="0.2">
      <c r="A92" s="173"/>
      <c r="B92" s="190"/>
      <c r="C92" s="193"/>
      <c r="D92" s="190"/>
      <c r="E92" s="190"/>
      <c r="F92" s="190"/>
      <c r="G92" s="190">
        <f t="shared" si="30"/>
        <v>0</v>
      </c>
      <c r="I92" s="190"/>
    </row>
    <row r="93" spans="1:9" x14ac:dyDescent="0.2">
      <c r="A93" s="173" t="str">
        <f>'3-Assumptions'!A27</f>
        <v>Wholesale deposits</v>
      </c>
      <c r="B93" s="190">
        <f>+'3-Assumptions'!B27</f>
        <v>0.06</v>
      </c>
      <c r="C93" s="193">
        <f t="shared" ref="C93" si="31">IF(ISNUMBER(1-(1-B93)*(1-B93)-B93),1-(1-B93)*(1-B93)-B93,"n.a.")</f>
        <v>5.6400000000000061E-2</v>
      </c>
      <c r="D93" s="190">
        <f t="shared" ref="D93" si="32">IF(ISNUMBER(1-(1-$B93)*(1-$B93)*(1-$B93)-SUM(B93:C93)),1-(1-$B93)*(1-$B93)*(1-$B93)-SUM(B93:C93),"n.a.")</f>
        <v>5.3016000000000063E-2</v>
      </c>
      <c r="E93" s="190">
        <f t="shared" ref="E93" si="33">IF(ISNUMBER(1-(1-$B93)*(1-$B93)*(1-$B93)*(1-$B93)-SUM(B93:D93)),1-(1-$B93)*(1-$B93)*(1-$B93)*(1-$B93)-SUM(B93:D93),"n.a.")</f>
        <v>4.9835040000000053E-2</v>
      </c>
      <c r="F93" s="190">
        <f>IF(ISNUMBER(1-(1-$B93)*(1-$B93)*(1-$B93)*(1-$B93)*(1-$B93)-SUM(B93:E93)),1-(1-$B93)*(1-$B93)*(1-$B93)*(1-$B93)*(1-$B93)-SUM(B93:E93),"n.a.")</f>
        <v>4.6844937600000081E-2</v>
      </c>
      <c r="G93" s="190">
        <f>SUM(B93:F93)</f>
        <v>0.26609597760000026</v>
      </c>
      <c r="I93" s="190">
        <f>+'3-Assumptions'!D27</f>
        <v>0.02</v>
      </c>
    </row>
    <row r="94" spans="1:9" x14ac:dyDescent="0.2">
      <c r="A94" s="173"/>
      <c r="B94" s="190"/>
      <c r="C94" s="193"/>
      <c r="D94" s="190"/>
      <c r="E94" s="190"/>
      <c r="F94" s="190"/>
      <c r="G94" s="190">
        <f t="shared" si="30"/>
        <v>0</v>
      </c>
      <c r="I94" s="190"/>
    </row>
    <row r="95" spans="1:9" x14ac:dyDescent="0.2">
      <c r="A95" s="173"/>
      <c r="B95" s="190"/>
      <c r="C95" s="193"/>
      <c r="D95" s="190"/>
      <c r="E95" s="190"/>
      <c r="F95" s="190"/>
      <c r="G95" s="190">
        <f t="shared" si="30"/>
        <v>0</v>
      </c>
      <c r="I95" s="190"/>
    </row>
    <row r="96" spans="1:9" x14ac:dyDescent="0.2">
      <c r="A96" s="173"/>
      <c r="B96" s="190"/>
      <c r="C96" s="193"/>
      <c r="D96" s="190"/>
      <c r="E96" s="190"/>
      <c r="F96" s="190"/>
      <c r="G96" s="190">
        <f t="shared" si="30"/>
        <v>0</v>
      </c>
      <c r="I96" s="190"/>
    </row>
    <row r="97" spans="1:9" x14ac:dyDescent="0.2">
      <c r="A97" s="173"/>
      <c r="B97" s="190"/>
      <c r="C97" s="193"/>
      <c r="D97" s="190"/>
      <c r="E97" s="190"/>
      <c r="F97" s="190"/>
      <c r="G97" s="190">
        <f t="shared" si="30"/>
        <v>0</v>
      </c>
      <c r="I97" s="190"/>
    </row>
    <row r="98" spans="1:9" x14ac:dyDescent="0.2">
      <c r="A98" s="173"/>
      <c r="B98" s="190"/>
      <c r="C98" s="193"/>
      <c r="D98" s="190"/>
      <c r="E98" s="190"/>
      <c r="F98" s="190"/>
      <c r="G98" s="190">
        <f t="shared" si="30"/>
        <v>0</v>
      </c>
      <c r="I98" s="190"/>
    </row>
    <row r="99" spans="1:9" x14ac:dyDescent="0.2">
      <c r="A99" s="173"/>
      <c r="B99" s="194"/>
      <c r="C99" s="197"/>
      <c r="D99" s="194"/>
      <c r="E99" s="194"/>
      <c r="F99" s="194"/>
      <c r="G99" s="194">
        <f t="shared" si="30"/>
        <v>0</v>
      </c>
      <c r="I99" s="194"/>
    </row>
    <row r="100" spans="1:9" x14ac:dyDescent="0.2">
      <c r="A100" s="177"/>
      <c r="B100" s="158"/>
      <c r="C100" s="158"/>
      <c r="E100" s="163"/>
      <c r="F100" s="163"/>
      <c r="G100" s="163"/>
      <c r="I100" s="158"/>
    </row>
    <row r="101" spans="1:9" x14ac:dyDescent="0.2">
      <c r="A101" s="171" t="str">
        <f>'2-Input - IIFS Liqudity'!B59</f>
        <v>RPSIA</v>
      </c>
      <c r="B101" s="198">
        <v>0.03</v>
      </c>
      <c r="C101" s="199">
        <f>IF(ISNUMBER(1-(1-B101)*(1-B101)-B101),1-(1-B101)*(1-B101)-B101,"n.a.")</f>
        <v>2.9100000000000042E-2</v>
      </c>
      <c r="D101" s="199">
        <f>IF(ISNUMBER(1-(1-$B101)*(1-$B101)*(1-$B101)-SUM(B101:C101)),1-(1-$B101)*(1-$B101)*(1-$B101)-SUM(B101:C101),"n.a.")</f>
        <v>2.8227000000000002E-2</v>
      </c>
      <c r="E101" s="199">
        <f>IF(ISNUMBER(1-(1-$B101)*(1-$B101)*(1-$B101)*(1-$B101)-SUM(B101:D101)),1-(1-$B101)*(1-$B101)*(1-$B101)*(1-$B101)-SUM(B101:D101),"n.a.")</f>
        <v>2.7380190000000026E-2</v>
      </c>
      <c r="F101" s="199">
        <f>IF(ISNUMBER(1-(1-$B101)*(1-$B101)*(1-$B101)*(1-$B101)*(1-$B101)-SUM(B101:E101)),1-(1-$B101)*(1-$B101)*(1-$B101)*(1-$B101)*(1-$B101)-SUM(B101:E101),"n.a.")</f>
        <v>2.6558784300000027E-2</v>
      </c>
      <c r="G101" s="200">
        <f t="shared" ref="G101" si="34">SUM(B101:F101)</f>
        <v>0.1412659743000001</v>
      </c>
      <c r="I101" s="185">
        <f>'3-Assumptions'!$D$33</f>
        <v>0</v>
      </c>
    </row>
    <row r="102" spans="1:9" x14ac:dyDescent="0.2">
      <c r="A102" s="177"/>
      <c r="B102" s="158"/>
      <c r="C102" s="158"/>
      <c r="E102" s="163"/>
      <c r="F102" s="163"/>
      <c r="G102" s="163"/>
      <c r="I102" s="158"/>
    </row>
    <row r="103" spans="1:9" x14ac:dyDescent="0.2">
      <c r="A103" s="177"/>
      <c r="B103" s="158"/>
      <c r="C103" s="158"/>
      <c r="E103" s="163"/>
      <c r="F103" s="163"/>
      <c r="G103" s="163"/>
      <c r="I103" s="158"/>
    </row>
    <row r="104" spans="1:9" x14ac:dyDescent="0.2">
      <c r="A104" s="178" t="s">
        <v>44</v>
      </c>
      <c r="B104" s="186">
        <f>((B105*'2-Input - IIFS Liqudity'!$G$64)+(B108*'2-Input - IIFS Liqudity'!$G$71))/'2-Input - IIFS Liqudity'!$G$63</f>
        <v>0</v>
      </c>
      <c r="C104" s="186">
        <f>((C105*'2-Input - IIFS Liqudity'!$G$64)+(C108*'2-Input - IIFS Liqudity'!$G$71))/'2-Input - IIFS Liqudity'!$G$63</f>
        <v>0</v>
      </c>
      <c r="D104" s="186">
        <f>((D105*'2-Input - IIFS Liqudity'!$G$64)+(D108*'2-Input - IIFS Liqudity'!$G$71))/'2-Input - IIFS Liqudity'!$G$63</f>
        <v>0</v>
      </c>
      <c r="E104" s="186">
        <f>((E105*'2-Input - IIFS Liqudity'!$G$64)+(E108*'2-Input - IIFS Liqudity'!$G$71))/'2-Input - IIFS Liqudity'!$G$63</f>
        <v>0</v>
      </c>
      <c r="F104" s="186">
        <f>((F105*'2-Input - IIFS Liqudity'!$G$64)+(F108*'2-Input - IIFS Liqudity'!$G$71))/'2-Input - IIFS Liqudity'!$G$63</f>
        <v>0</v>
      </c>
      <c r="G104" s="185">
        <f>SUM(B104:F104)</f>
        <v>0</v>
      </c>
      <c r="I104" s="186">
        <f>((I105*'2-Input - IIFS Liqudity'!$G$64)+(I108*'2-Input - IIFS Liqudity'!$G$71))/'2-Input - IIFS Liqudity'!$G$63</f>
        <v>0</v>
      </c>
    </row>
    <row r="105" spans="1:9" x14ac:dyDescent="0.2">
      <c r="A105" s="172" t="str">
        <f>'3-Assumptions'!A36</f>
        <v>Secured</v>
      </c>
      <c r="B105" s="186">
        <f>'3-Assumptions'!B36</f>
        <v>0</v>
      </c>
      <c r="C105" s="187">
        <f>IF(ISNUMBER(1-(1-B105)*(1-B105)-B105),1-(1-B105)*(1-B105)-B105,"n.a.")</f>
        <v>0</v>
      </c>
      <c r="D105" s="188">
        <f>IF(ISNUMBER(1-(1-$B105)*(1-$B105)*(1-$B105)-SUM(B105:C105)),1-(1-$B105)*(1-$B105)*(1-$B105)-SUM(B105:C105),"n.a.")</f>
        <v>0</v>
      </c>
      <c r="E105" s="186">
        <f>IF(ISNUMBER(1-(1-$B105)*(1-$B105)*(1-$B105)*(1-$B105)-SUM(B105:D105)),1-(1-$B105)*(1-$B105)*(1-$B105)*(1-$B105)-SUM(B105:D105),"n.a.")</f>
        <v>0</v>
      </c>
      <c r="F105" s="186">
        <f>IF(ISNUMBER(1-(1-$B105)*(1-$B105)*(1-$B105)*(1-$B105)*(1-$B105)-SUM(B105:E105)),1-(1-$B105)*(1-$B105)*(1-$B105)*(1-$B105)*(1-$B105)-SUM(B105:E105),"n.a.")</f>
        <v>0</v>
      </c>
      <c r="G105" s="186">
        <f>SUM(B105:F105)</f>
        <v>0</v>
      </c>
      <c r="I105" s="186">
        <f>'3-Assumptions'!K36</f>
        <v>0</v>
      </c>
    </row>
    <row r="106" spans="1:9" x14ac:dyDescent="0.2">
      <c r="A106" s="173"/>
      <c r="B106" s="190"/>
      <c r="C106" s="191"/>
      <c r="D106" s="192"/>
      <c r="E106" s="190"/>
      <c r="F106" s="190"/>
      <c r="G106" s="190">
        <f t="shared" ref="G106:G110" si="35">SUM(B106:F106)</f>
        <v>0</v>
      </c>
      <c r="I106" s="190"/>
    </row>
    <row r="107" spans="1:9" x14ac:dyDescent="0.2">
      <c r="A107" s="173"/>
      <c r="B107" s="190"/>
      <c r="C107" s="191"/>
      <c r="D107" s="192"/>
      <c r="E107" s="190"/>
      <c r="F107" s="190"/>
      <c r="G107" s="190">
        <f t="shared" si="35"/>
        <v>0</v>
      </c>
      <c r="I107" s="190"/>
    </row>
    <row r="108" spans="1:9" x14ac:dyDescent="0.2">
      <c r="A108" s="173" t="str">
        <f>'3-Assumptions'!A43</f>
        <v>Unsecured</v>
      </c>
      <c r="B108" s="190">
        <f>'3-Assumptions'!B43</f>
        <v>0</v>
      </c>
      <c r="C108" s="191">
        <f t="shared" ref="C108:C112" si="36">IF(ISNUMBER(1-(1-B108)*(1-B108)-B108),1-(1-B108)*(1-B108)-B108,"n.a.")</f>
        <v>0</v>
      </c>
      <c r="D108" s="192">
        <f t="shared" ref="D108" si="37">IF(ISNUMBER(1-(1-$B108)*(1-$B108)*(1-$B108)-SUM(B108:C108)),1-(1-$B108)*(1-$B108)*(1-$B108)-SUM(B108:C108),"n.a.")</f>
        <v>0</v>
      </c>
      <c r="E108" s="190">
        <f t="shared" ref="E108:E114" si="38">IF(ISNUMBER(1-(1-$B108)*(1-$B108)*(1-$B108)*(1-$B108)-SUM(B108:D108)),1-(1-$B108)*(1-$B108)*(1-$B108)*(1-$B108)-SUM(B108:D108),"n.a.")</f>
        <v>0</v>
      </c>
      <c r="F108" s="190">
        <f t="shared" ref="F108:F114" si="39">IF(ISNUMBER(1-(1-$B108)*(1-$B108)*(1-$B108)*(1-$B108)*(1-$B108)-SUM(B108:E108)),1-(1-$B108)*(1-$B108)*(1-$B108)*(1-$B108)*(1-$B108)-SUM(B108:E108),"n.a.")</f>
        <v>0</v>
      </c>
      <c r="G108" s="190">
        <f t="shared" si="35"/>
        <v>0</v>
      </c>
      <c r="I108" s="190">
        <f>'3-Assumptions'!K43</f>
        <v>0</v>
      </c>
    </row>
    <row r="109" spans="1:9" x14ac:dyDescent="0.2">
      <c r="A109" s="173"/>
      <c r="B109" s="190"/>
      <c r="C109" s="191"/>
      <c r="D109" s="192"/>
      <c r="E109" s="190"/>
      <c r="F109" s="190"/>
      <c r="G109" s="190">
        <f t="shared" si="35"/>
        <v>0</v>
      </c>
      <c r="I109" s="190"/>
    </row>
    <row r="110" spans="1:9" x14ac:dyDescent="0.2">
      <c r="A110" s="174"/>
      <c r="B110" s="194"/>
      <c r="C110" s="195"/>
      <c r="D110" s="196"/>
      <c r="E110" s="194"/>
      <c r="F110" s="194"/>
      <c r="G110" s="194">
        <f t="shared" si="35"/>
        <v>0</v>
      </c>
      <c r="I110" s="194"/>
    </row>
    <row r="111" spans="1:9" x14ac:dyDescent="0.2">
      <c r="A111" s="177"/>
      <c r="B111" s="158"/>
      <c r="C111" s="158"/>
      <c r="E111" s="163"/>
      <c r="F111" s="163"/>
      <c r="G111" s="163"/>
      <c r="I111" s="158"/>
    </row>
    <row r="112" spans="1:9" x14ac:dyDescent="0.2">
      <c r="A112" s="171" t="s">
        <v>26</v>
      </c>
      <c r="B112" s="185" t="str">
        <f>IF(ISNUMBER('3-Assumptions'!B45),'3-Assumptions'!B45,"n.a.")</f>
        <v>n.a.</v>
      </c>
      <c r="C112" s="185" t="str">
        <f t="shared" si="36"/>
        <v>n.a.</v>
      </c>
      <c r="D112" s="185" t="str">
        <f>IF(ISNUMBER(1-(1-$B112)*(1-$B112)*(1-$B112)-SUM(B112:C112)),1-(1-$B112)*(1-$B112)*(1-$B112)-SUM(B112:C112),"n.a.")</f>
        <v>n.a.</v>
      </c>
      <c r="E112" s="185" t="str">
        <f>IF(ISNUMBER(1-(1-$B112)*(1-$B112)*(1-$B112)*(1-$B112)-SUM(B112:D112)),1-(1-$B112)*(1-$B112)*(1-$B112)*(1-$B112)-SUM(B112:D112),"n.a.")</f>
        <v>n.a.</v>
      </c>
      <c r="F112" s="185" t="str">
        <f>IF(ISNUMBER(1-(1-$B112)*(1-$B112)*(1-$B112)*(1-$B112)*(1-$B112)-SUM(B112:E112)),1-(1-$B112)*(1-$B112)*(1-$B112)*(1-$B112)*(1-$B112)-SUM(B112:E112),"n.a.")</f>
        <v>n.a.</v>
      </c>
      <c r="G112" s="185">
        <f>SUM(B112:F112)</f>
        <v>0</v>
      </c>
      <c r="I112" s="185" t="str">
        <f>IF(ISNUMBER('3-Assumptions'!K45),'3-Assumptions'!K45,"n.a.")</f>
        <v>n.a.</v>
      </c>
    </row>
    <row r="113" spans="1:26" x14ac:dyDescent="0.2">
      <c r="A113" s="179"/>
      <c r="B113" s="158"/>
      <c r="C113" s="158"/>
      <c r="I113" s="158"/>
    </row>
    <row r="114" spans="1:26" x14ac:dyDescent="0.2">
      <c r="A114" s="180" t="s">
        <v>27</v>
      </c>
      <c r="B114" s="185" t="str">
        <f>IF(ISNUMBER('3-Assumptions'!B47),'3-Assumptions'!B47,"n.a.")</f>
        <v>n.a.</v>
      </c>
      <c r="C114" s="185" t="str">
        <f>IF(ISNUMBER(1-(1-B114)*(1-B114)-B114),1-(1-B114)*(1-B114)-B114,"n.a.")</f>
        <v>n.a.</v>
      </c>
      <c r="D114" s="185" t="str">
        <f>IF(ISNUMBER(1-(1-$B114)*(1-$B114)*(1-$B114)-SUM(B114:C114)),1-(1-$B114)*(1-$B114)*(1-$B114)-SUM(B114:C114),"n.a.")</f>
        <v>n.a.</v>
      </c>
      <c r="E114" s="185" t="str">
        <f t="shared" si="38"/>
        <v>n.a.</v>
      </c>
      <c r="F114" s="185" t="str">
        <f t="shared" si="39"/>
        <v>n.a.</v>
      </c>
      <c r="G114" s="185">
        <f>SUM(B114:F114)</f>
        <v>0</v>
      </c>
      <c r="I114" s="185" t="str">
        <f>IF(ISNUMBER('3-Assumptions'!K47),'3-Assumptions'!K47,"n.a.")</f>
        <v>n.a.</v>
      </c>
    </row>
    <row r="115" spans="1:26" x14ac:dyDescent="0.2">
      <c r="A115" s="181"/>
      <c r="B115" s="158"/>
      <c r="C115" s="158"/>
      <c r="I115" s="158"/>
    </row>
    <row r="116" spans="1:26" x14ac:dyDescent="0.2">
      <c r="A116" s="171" t="s">
        <v>246</v>
      </c>
      <c r="B116" s="186">
        <f>((B117*'2-Input - IIFS Liqudity'!$G$78)+(B118*'2-Input - IIFS Liqudity'!$G$79))/'2-Input - IIFS Liqudity'!$G$77</f>
        <v>0</v>
      </c>
      <c r="C116" s="186">
        <f>((C117*'2-Input - IIFS Liqudity'!$G$78)+(C118*'2-Input - IIFS Liqudity'!$G$79))/'2-Input - IIFS Liqudity'!$G$77</f>
        <v>0</v>
      </c>
      <c r="D116" s="186">
        <f>((D117*'2-Input - IIFS Liqudity'!$G$78)+(D118*'2-Input - IIFS Liqudity'!$G$79))/'2-Input - IIFS Liqudity'!$G$77</f>
        <v>0</v>
      </c>
      <c r="E116" s="186">
        <f>((E117*'2-Input - IIFS Liqudity'!$G$78)+(E118*'2-Input - IIFS Liqudity'!$G$79))/'2-Input - IIFS Liqudity'!$G$77</f>
        <v>0</v>
      </c>
      <c r="F116" s="186">
        <f>((F117*'2-Input - IIFS Liqudity'!$G$78)+(F118*'2-Input - IIFS Liqudity'!$G$79))/'2-Input - IIFS Liqudity'!$G$77</f>
        <v>0</v>
      </c>
      <c r="G116" s="185">
        <f t="shared" ref="G116:G121" si="40">SUM(B116:F116)</f>
        <v>0</v>
      </c>
      <c r="I116" s="186">
        <f>((I117*'2-Input - IIFS Liqudity'!$G$78)+(I118*'2-Input - IIFS Liqudity'!$G$79))/'2-Input - IIFS Liqudity'!$G$77</f>
        <v>0</v>
      </c>
    </row>
    <row r="117" spans="1:26" x14ac:dyDescent="0.2">
      <c r="A117" s="172" t="str">
        <f>'3-Assumptions'!A50</f>
        <v xml:space="preserve">Domestic Currency </v>
      </c>
      <c r="B117" s="188">
        <f>'3-Assumptions'!B50</f>
        <v>0</v>
      </c>
      <c r="C117" s="186">
        <f>IF(ISNUMBER(1-(1-B117)*(1-B117)-B117),1-(1-B117)*(1-B117)-B117,"n.a.")</f>
        <v>0</v>
      </c>
      <c r="D117" s="188">
        <f>IF(ISNUMBER(1-(1-$B117)*(1-$B117)*(1-$B117)-SUM(B117:C117)),1-(1-$B117)*(1-$B117)*(1-$B117)-SUM(B117:C117),"n.a.")</f>
        <v>0</v>
      </c>
      <c r="E117" s="186">
        <f>IF(ISNUMBER(1-(1-$B117)*(1-$B117)*(1-$B117)*(1-$B117)-SUM(B117:D117)),1-(1-$B117)*(1-$B117)*(1-$B117)*(1-$B117)-SUM(B117:D117),"n.a.")</f>
        <v>0</v>
      </c>
      <c r="F117" s="186">
        <f>IF(ISNUMBER(1-(1-$B117)*(1-$B117)*(1-$B117)*(1-$B117)*(1-$B117)-SUM(B117:E117)),1-(1-$B117)*(1-$B117)*(1-$B117)*(1-$B117)*(1-$B117)-SUM(B117:E117),"n.a.")</f>
        <v>0</v>
      </c>
      <c r="G117" s="186">
        <f t="shared" si="40"/>
        <v>0</v>
      </c>
      <c r="I117" s="186">
        <f>'3-Assumptions'!K50</f>
        <v>0</v>
      </c>
    </row>
    <row r="118" spans="1:26" x14ac:dyDescent="0.2">
      <c r="A118" s="173" t="str">
        <f>'3-Assumptions'!A51</f>
        <v>Foreign Currency</v>
      </c>
      <c r="B118" s="192">
        <f>'3-Assumptions'!B51</f>
        <v>0</v>
      </c>
      <c r="C118" s="190">
        <f>IF(ISNUMBER(1-(1-B118)*(1-B118)-B118),1-(1-B118)*(1-B118)-B118,"n.a.")</f>
        <v>0</v>
      </c>
      <c r="D118" s="192">
        <f>IF(ISNUMBER(1-(1-$B118)*(1-$B118)*(1-$B118)-SUM(B118:C118)),1-(1-$B118)*(1-$B118)*(1-$B118)-SUM(B118:C118),"n.a.")</f>
        <v>0</v>
      </c>
      <c r="E118" s="190">
        <f>IF(ISNUMBER(1-(1-$B118)*(1-$B118)*(1-$B118)*(1-$B118)-SUM(B118:D118)),1-(1-$B118)*(1-$B118)*(1-$B118)*(1-$B118)-SUM(B118:D118),"n.a.")</f>
        <v>0</v>
      </c>
      <c r="F118" s="190">
        <f>IF(ISNUMBER(1-(1-$B118)*(1-$B118)*(1-$B118)*(1-$B118)*(1-$B118)-SUM(B118:E118)),1-(1-$B118)*(1-$B118)*(1-$B118)*(1-$B118)*(1-$B118)-SUM(B118:E118),"n.a.")</f>
        <v>0</v>
      </c>
      <c r="G118" s="190">
        <f t="shared" si="40"/>
        <v>0</v>
      </c>
      <c r="I118" s="190">
        <f>'3-Assumptions'!K51</f>
        <v>0</v>
      </c>
    </row>
    <row r="119" spans="1:26" x14ac:dyDescent="0.2">
      <c r="A119" s="173"/>
      <c r="B119" s="192"/>
      <c r="C119" s="190"/>
      <c r="D119" s="192"/>
      <c r="E119" s="190"/>
      <c r="F119" s="190"/>
      <c r="G119" s="190">
        <f t="shared" si="40"/>
        <v>0</v>
      </c>
      <c r="I119" s="190"/>
    </row>
    <row r="120" spans="1:26" x14ac:dyDescent="0.2">
      <c r="A120" s="173"/>
      <c r="B120" s="192"/>
      <c r="C120" s="190"/>
      <c r="D120" s="192"/>
      <c r="E120" s="190"/>
      <c r="F120" s="190"/>
      <c r="G120" s="190">
        <f t="shared" si="40"/>
        <v>0</v>
      </c>
      <c r="I120" s="190"/>
    </row>
    <row r="121" spans="1:26" x14ac:dyDescent="0.2">
      <c r="A121" s="174"/>
      <c r="B121" s="196"/>
      <c r="C121" s="194"/>
      <c r="D121" s="196"/>
      <c r="E121" s="194"/>
      <c r="F121" s="194"/>
      <c r="G121" s="194">
        <f t="shared" si="40"/>
        <v>0</v>
      </c>
      <c r="I121" s="194"/>
    </row>
    <row r="122" spans="1:26" x14ac:dyDescent="0.2">
      <c r="A122" s="163"/>
      <c r="B122" s="163"/>
      <c r="C122" s="163"/>
      <c r="D122" s="163"/>
      <c r="E122" s="163"/>
      <c r="F122" s="163"/>
      <c r="G122" s="163"/>
      <c r="I122" s="163"/>
    </row>
    <row r="123" spans="1:26" x14ac:dyDescent="0.2">
      <c r="A123" s="171" t="s">
        <v>161</v>
      </c>
      <c r="B123" s="185">
        <f>IF(ISNUMBER('3-Assumptions'!B56),'3-Assumptions'!B56,"n.a.")</f>
        <v>0</v>
      </c>
      <c r="C123" s="198">
        <f>IF(ISNUMBER(1-(1-B123)*(1-B123)-B123),1-(1-B123)*(1-B123)-B123,"n.a.")</f>
        <v>0</v>
      </c>
      <c r="D123" s="199">
        <f>IF(ISNUMBER(1-(1-$B123)*(1-$B123)*(1-$B123)-SUM(B123:C123)),1-(1-$B123)*(1-$B123)*(1-$B123)-SUM(B123:C123),"n.a.")</f>
        <v>0</v>
      </c>
      <c r="E123" s="199">
        <f>IF(ISNUMBER(1-(1-$B123)*(1-$B123)*(1-$B123)*(1-$B123)-SUM(B123:D123)),1-(1-$B123)*(1-$B123)*(1-$B123)*(1-$B123)-SUM(B123:D123),"n.a.")</f>
        <v>0</v>
      </c>
      <c r="F123" s="199">
        <f>IF(ISNUMBER(1-(1-$B123)*(1-$B123)*(1-$B123)*(1-$B123)*(1-$B123)-SUM(B123:E123)),1-(1-$B123)*(1-$B123)*(1-$B123)*(1-$B123)*(1-$B123)-SUM(B123:E123),"n.a.")</f>
        <v>0</v>
      </c>
      <c r="G123" s="200">
        <f>SUM(B123:F123)</f>
        <v>0</v>
      </c>
      <c r="I123" s="185" t="str">
        <f>IF(ISNUMBER('3-Assumptions'!K56),'3-Assumptions'!K56,"n.a.")</f>
        <v>n.a.</v>
      </c>
    </row>
    <row r="124" spans="1:26" x14ac:dyDescent="0.2">
      <c r="A124" s="163"/>
      <c r="B124" s="163"/>
      <c r="C124" s="163"/>
      <c r="D124" s="163"/>
      <c r="E124" s="163"/>
      <c r="F124" s="163"/>
      <c r="G124" s="163"/>
      <c r="I124" s="163"/>
    </row>
    <row r="125" spans="1:26" x14ac:dyDescent="0.2">
      <c r="A125" s="171" t="s">
        <v>61</v>
      </c>
      <c r="B125" s="185">
        <f>IF(ISNUMBER('3-Assumptions'!B58),'3-Assumptions'!B58,"n.a.")</f>
        <v>0</v>
      </c>
      <c r="C125" s="198">
        <f>IF(ISNUMBER(1-(1-B125)*(1-B125)-B125),1-(1-B125)*(1-B125)-B125,"n.a.")</f>
        <v>0</v>
      </c>
      <c r="D125" s="199">
        <f>IF(ISNUMBER(1-(1-$B125)*(1-$B125)*(1-$B125)-SUM(B125:C125)),1-(1-$B125)*(1-$B125)*(1-$B125)-SUM(B125:C125),"n.a.")</f>
        <v>0</v>
      </c>
      <c r="E125" s="199">
        <f>IF(ISNUMBER(1-(1-$B125)*(1-$B125)*(1-$B125)*(1-$B125)-SUM(B125:D125)),1-(1-$B125)*(1-$B125)*(1-$B125)*(1-$B125)-SUM(B125:D125),"n.a.")</f>
        <v>0</v>
      </c>
      <c r="F125" s="199">
        <f>IF(ISNUMBER(1-(1-$B125)*(1-$B125)*(1-$B125)*(1-$B125)*(1-$B125)-SUM(B125:E125)),1-(1-$B125)*(1-$B125)*(1-$B125)*(1-$B125)*(1-$B125)-SUM(B125:E125),"n.a.")</f>
        <v>0</v>
      </c>
      <c r="G125" s="200">
        <f>SUM(B125:F125)</f>
        <v>0</v>
      </c>
      <c r="I125" s="185" t="str">
        <f>IF(ISNUMBER('3-Assumptions'!K58),'3-Assumptions'!K58,"n.a.")</f>
        <v>n.a.</v>
      </c>
    </row>
    <row r="126" spans="1:26" x14ac:dyDescent="0.2">
      <c r="A126" s="163"/>
      <c r="B126" s="163"/>
      <c r="C126" s="163"/>
      <c r="D126" s="163"/>
      <c r="E126" s="163"/>
      <c r="F126" s="163"/>
      <c r="G126" s="163"/>
    </row>
    <row r="128" spans="1:26" s="73" customFormat="1" x14ac:dyDescent="0.2">
      <c r="A128" s="933" t="s">
        <v>318</v>
      </c>
      <c r="B128" s="934"/>
      <c r="C128" s="934"/>
      <c r="D128" s="934"/>
      <c r="E128" s="934"/>
      <c r="F128" s="934"/>
      <c r="G128" s="934"/>
      <c r="H128" s="158"/>
      <c r="I128" s="158"/>
      <c r="J128" s="158"/>
      <c r="K128" s="158"/>
      <c r="L128" s="158"/>
      <c r="M128" s="158"/>
      <c r="N128" s="158"/>
      <c r="O128" s="158"/>
      <c r="P128" s="158"/>
      <c r="Q128" s="158"/>
      <c r="R128" s="158"/>
      <c r="S128" s="158"/>
      <c r="T128" s="158"/>
      <c r="U128" s="158"/>
      <c r="V128" s="158"/>
      <c r="W128" s="158"/>
      <c r="X128" s="158"/>
      <c r="Y128" s="158"/>
      <c r="Z128" s="158"/>
    </row>
    <row r="131" spans="1:7" ht="15.75" customHeight="1" thickBot="1" x14ac:dyDescent="0.25">
      <c r="A131" s="119"/>
      <c r="B131" s="104" t="s">
        <v>8</v>
      </c>
      <c r="C131" s="105" t="str">
        <f>C8</f>
        <v>IIFS1</v>
      </c>
      <c r="D131" s="105" t="str">
        <f>D8</f>
        <v>IIFS2</v>
      </c>
      <c r="E131" s="105" t="str">
        <f>E8</f>
        <v>IIFS3</v>
      </c>
      <c r="F131" s="105" t="str">
        <f>F8</f>
        <v>IIFS4</v>
      </c>
      <c r="G131" s="151" t="str">
        <f>G8</f>
        <v>IIFS5</v>
      </c>
    </row>
    <row r="132" spans="1:7" ht="15" customHeight="1" x14ac:dyDescent="0.2">
      <c r="A132" s="126" t="s">
        <v>319</v>
      </c>
      <c r="B132" s="96"/>
      <c r="C132" s="120">
        <f>+C133+C139</f>
        <v>3723426.25</v>
      </c>
      <c r="D132" s="121">
        <f t="shared" ref="D132:G132" si="41">+D133+D139</f>
        <v>5942767</v>
      </c>
      <c r="E132" s="121">
        <f t="shared" si="41"/>
        <v>4517922.05</v>
      </c>
      <c r="F132" s="121">
        <f t="shared" si="41"/>
        <v>5080913</v>
      </c>
      <c r="G132" s="122">
        <f t="shared" si="41"/>
        <v>6187640</v>
      </c>
    </row>
    <row r="133" spans="1:7" ht="15" customHeight="1" x14ac:dyDescent="0.2">
      <c r="A133" s="127" t="s">
        <v>0</v>
      </c>
      <c r="B133" s="96"/>
      <c r="C133" s="123">
        <f>+SUM(C134:C138)</f>
        <v>3489676</v>
      </c>
      <c r="D133" s="124">
        <f t="shared" ref="D133:G133" si="42">+SUM(D134:D138)</f>
        <v>5942767</v>
      </c>
      <c r="E133" s="124">
        <f t="shared" si="42"/>
        <v>4481752</v>
      </c>
      <c r="F133" s="124">
        <f t="shared" si="42"/>
        <v>5080913</v>
      </c>
      <c r="G133" s="125">
        <f t="shared" si="42"/>
        <v>6187640</v>
      </c>
    </row>
    <row r="134" spans="1:7" x14ac:dyDescent="0.2">
      <c r="A134" s="108" t="s">
        <v>170</v>
      </c>
      <c r="B134" s="96">
        <f>SUM(C134:G134)</f>
        <v>1238526</v>
      </c>
      <c r="C134" s="109">
        <f>+'2-Input - IIFS Liqudity'!I136*'3-Assumptions'!$B105</f>
        <v>550408</v>
      </c>
      <c r="D134" s="110">
        <f>+'2-Input - IIFS Liqudity'!J136*'3-Assumptions'!$B105</f>
        <v>45876</v>
      </c>
      <c r="E134" s="110">
        <f>+'2-Input - IIFS Liqudity'!K136*'3-Assumptions'!$B105</f>
        <v>120454</v>
      </c>
      <c r="F134" s="110">
        <f>+'2-Input - IIFS Liqudity'!L136*'3-Assumptions'!$B105</f>
        <v>454344</v>
      </c>
      <c r="G134" s="111">
        <f>+'2-Input - IIFS Liqudity'!M136*'3-Assumptions'!$B105</f>
        <v>67444</v>
      </c>
    </row>
    <row r="135" spans="1:7" x14ac:dyDescent="0.2">
      <c r="A135" s="108" t="s">
        <v>171</v>
      </c>
      <c r="B135" s="98">
        <f>SUM(C135:G135)</f>
        <v>8204916</v>
      </c>
      <c r="C135" s="112">
        <f>+'2-Input - IIFS Liqudity'!I137*'3-Assumptions'!$B106</f>
        <v>2550408</v>
      </c>
      <c r="D135" s="113">
        <f>+'2-Input - IIFS Liqudity'!J137*'3-Assumptions'!$B106</f>
        <v>465311</v>
      </c>
      <c r="E135" s="113">
        <f>+'2-Input - IIFS Liqudity'!K137*'3-Assumptions'!$B106</f>
        <v>1050720</v>
      </c>
      <c r="F135" s="113">
        <f>+'2-Input - IIFS Liqudity'!L137*'3-Assumptions'!$B106</f>
        <v>3355029</v>
      </c>
      <c r="G135" s="114">
        <f>+'2-Input - IIFS Liqudity'!M137*'3-Assumptions'!$B106</f>
        <v>783448</v>
      </c>
    </row>
    <row r="136" spans="1:7" ht="51" x14ac:dyDescent="0.2">
      <c r="A136" s="108" t="s">
        <v>336</v>
      </c>
      <c r="B136" s="98">
        <f t="shared" ref="B136:B141" si="43">SUM(C136:G136)</f>
        <v>0</v>
      </c>
      <c r="C136" s="112">
        <f>+'2-Input - IIFS Liqudity'!I138*'3-Assumptions'!$B107</f>
        <v>0</v>
      </c>
      <c r="D136" s="113">
        <f>+'2-Input - IIFS Liqudity'!J138*'3-Assumptions'!$B107</f>
        <v>0</v>
      </c>
      <c r="E136" s="113">
        <f>+'2-Input - IIFS Liqudity'!K138*'3-Assumptions'!$B107</f>
        <v>0</v>
      </c>
      <c r="F136" s="113">
        <f>+'2-Input - IIFS Liqudity'!L138*'3-Assumptions'!$B107</f>
        <v>0</v>
      </c>
      <c r="G136" s="114">
        <f>+'2-Input - IIFS Liqudity'!M138*'3-Assumptions'!$B107</f>
        <v>0</v>
      </c>
    </row>
    <row r="137" spans="1:7" ht="38.25" x14ac:dyDescent="0.2">
      <c r="A137" s="108" t="s">
        <v>337</v>
      </c>
      <c r="B137" s="98">
        <f t="shared" si="43"/>
        <v>12836915</v>
      </c>
      <c r="C137" s="112">
        <f>+'2-Input - IIFS Liqudity'!I139*'3-Assumptions'!$B108</f>
        <v>342984</v>
      </c>
      <c r="D137" s="113">
        <f>+'2-Input - IIFS Liqudity'!J139*'3-Assumptions'!$B108</f>
        <v>4642013</v>
      </c>
      <c r="E137" s="113">
        <f>+'2-Input - IIFS Liqudity'!K139*'3-Assumptions'!$B108</f>
        <v>1853810</v>
      </c>
      <c r="F137" s="113">
        <f>+'2-Input - IIFS Liqudity'!L139*'3-Assumptions'!$B108</f>
        <v>725895</v>
      </c>
      <c r="G137" s="114">
        <f>+'2-Input - IIFS Liqudity'!M139*'3-Assumptions'!$B108</f>
        <v>5272213</v>
      </c>
    </row>
    <row r="138" spans="1:7" ht="38.25" x14ac:dyDescent="0.2">
      <c r="A138" s="108" t="s">
        <v>338</v>
      </c>
      <c r="B138" s="99">
        <f t="shared" si="43"/>
        <v>2902391</v>
      </c>
      <c r="C138" s="115">
        <f>+'2-Input - IIFS Liqudity'!I140*'3-Assumptions'!$B109</f>
        <v>45876</v>
      </c>
      <c r="D138" s="116">
        <f>+'2-Input - IIFS Liqudity'!J140*'3-Assumptions'!$B109</f>
        <v>789567</v>
      </c>
      <c r="E138" s="116">
        <f>+'2-Input - IIFS Liqudity'!K140*'3-Assumptions'!$B109</f>
        <v>1456768</v>
      </c>
      <c r="F138" s="116">
        <f>+'2-Input - IIFS Liqudity'!L140*'3-Assumptions'!$B109</f>
        <v>545645</v>
      </c>
      <c r="G138" s="117">
        <f>+'2-Input - IIFS Liqudity'!M140*'3-Assumptions'!$B109</f>
        <v>64535</v>
      </c>
    </row>
    <row r="139" spans="1:7" x14ac:dyDescent="0.2">
      <c r="A139" s="128" t="s">
        <v>1</v>
      </c>
      <c r="B139" s="128"/>
      <c r="C139" s="100">
        <f>+C140+C143</f>
        <v>233750.25</v>
      </c>
      <c r="D139" s="101">
        <f t="shared" ref="D139:G139" si="44">+D140+D143</f>
        <v>0</v>
      </c>
      <c r="E139" s="101">
        <f t="shared" si="44"/>
        <v>36170.049999999996</v>
      </c>
      <c r="F139" s="101">
        <f t="shared" si="44"/>
        <v>0</v>
      </c>
      <c r="G139" s="102">
        <f t="shared" si="44"/>
        <v>0</v>
      </c>
    </row>
    <row r="140" spans="1:7" x14ac:dyDescent="0.2">
      <c r="A140" s="129" t="s">
        <v>2</v>
      </c>
      <c r="B140" s="129"/>
      <c r="C140" s="130">
        <f>+SUM(C141:C142)</f>
        <v>210812.75</v>
      </c>
      <c r="D140" s="131">
        <f t="shared" ref="D140:G140" si="45">+SUM(D141:D142)</f>
        <v>0</v>
      </c>
      <c r="E140" s="131">
        <f t="shared" si="45"/>
        <v>36170.049999999996</v>
      </c>
      <c r="F140" s="131">
        <f t="shared" si="45"/>
        <v>0</v>
      </c>
      <c r="G140" s="132">
        <f t="shared" si="45"/>
        <v>0</v>
      </c>
    </row>
    <row r="141" spans="1:7" ht="51" x14ac:dyDescent="0.2">
      <c r="A141" s="133" t="s">
        <v>339</v>
      </c>
      <c r="B141" s="98">
        <f t="shared" si="43"/>
        <v>190904.9</v>
      </c>
      <c r="C141" s="113">
        <f>'2-Input - IIFS Liqudity'!I143*'3-Assumptions'!$B112</f>
        <v>154734.85</v>
      </c>
      <c r="D141" s="113">
        <f>'2-Input - IIFS Liqudity'!J143*'3-Assumptions'!$B112</f>
        <v>0</v>
      </c>
      <c r="E141" s="113">
        <f>'2-Input - IIFS Liqudity'!K143*'3-Assumptions'!$B112</f>
        <v>36170.049999999996</v>
      </c>
      <c r="F141" s="113">
        <f>'2-Input - IIFS Liqudity'!L143*'3-Assumptions'!$B112</f>
        <v>0</v>
      </c>
      <c r="G141" s="114">
        <f>'2-Input - IIFS Liqudity'!M143*'3-Assumptions'!$B112</f>
        <v>0</v>
      </c>
    </row>
    <row r="142" spans="1:7" ht="25.5" x14ac:dyDescent="0.2">
      <c r="A142" s="108" t="s">
        <v>340</v>
      </c>
      <c r="B142" s="99">
        <f t="shared" ref="B142:B146" si="46">SUM(C142:G142)</f>
        <v>56077.9</v>
      </c>
      <c r="C142" s="116">
        <f>'2-Input - IIFS Liqudity'!I144*'3-Assumptions'!$B113</f>
        <v>56077.9</v>
      </c>
      <c r="D142" s="116">
        <f>'2-Input - IIFS Liqudity'!J144*'3-Assumptions'!$B113</f>
        <v>0</v>
      </c>
      <c r="E142" s="116">
        <f>'2-Input - IIFS Liqudity'!K144*'3-Assumptions'!$B113</f>
        <v>0</v>
      </c>
      <c r="F142" s="116">
        <f>'2-Input - IIFS Liqudity'!L144*'3-Assumptions'!$B113</f>
        <v>0</v>
      </c>
      <c r="G142" s="117">
        <f>'2-Input - IIFS Liqudity'!M144*'3-Assumptions'!$B113</f>
        <v>0</v>
      </c>
    </row>
    <row r="143" spans="1:7" x14ac:dyDescent="0.2">
      <c r="A143" s="134" t="s">
        <v>3</v>
      </c>
      <c r="B143" s="135"/>
      <c r="C143" s="136">
        <f>SUM(C144:C146)</f>
        <v>22937.5</v>
      </c>
      <c r="D143" s="137">
        <f t="shared" ref="D143:G143" si="47">SUM(D144:D146)</f>
        <v>0</v>
      </c>
      <c r="E143" s="137">
        <f t="shared" si="47"/>
        <v>0</v>
      </c>
      <c r="F143" s="137">
        <f t="shared" si="47"/>
        <v>0</v>
      </c>
      <c r="G143" s="138">
        <f t="shared" si="47"/>
        <v>0</v>
      </c>
    </row>
    <row r="144" spans="1:7" x14ac:dyDescent="0.2">
      <c r="A144" s="133" t="s">
        <v>341</v>
      </c>
      <c r="B144" s="97">
        <f t="shared" si="46"/>
        <v>0</v>
      </c>
      <c r="C144" s="109">
        <f>+'2-Input - IIFS Liqudity'!I146*'3-Assumptions'!$B115</f>
        <v>0</v>
      </c>
      <c r="D144" s="110">
        <f>+'2-Input - IIFS Liqudity'!J146*'3-Assumptions'!$B115</f>
        <v>0</v>
      </c>
      <c r="E144" s="110">
        <f>+'2-Input - IIFS Liqudity'!K146*'3-Assumptions'!$B115</f>
        <v>0</v>
      </c>
      <c r="F144" s="110">
        <f>+'2-Input - IIFS Liqudity'!L146*'3-Assumptions'!$B115</f>
        <v>0</v>
      </c>
      <c r="G144" s="111">
        <f>+'2-Input - IIFS Liqudity'!M146*'3-Assumptions'!$B115</f>
        <v>0</v>
      </c>
    </row>
    <row r="145" spans="1:7" x14ac:dyDescent="0.2">
      <c r="A145" s="139" t="s">
        <v>342</v>
      </c>
      <c r="B145" s="98">
        <f t="shared" si="46"/>
        <v>22937.5</v>
      </c>
      <c r="C145" s="112">
        <f>+'2-Input - IIFS Liqudity'!I147*'3-Assumptions'!$B116</f>
        <v>22937.5</v>
      </c>
      <c r="D145" s="113">
        <f>+'2-Input - IIFS Liqudity'!J147*'3-Assumptions'!$B116</f>
        <v>0</v>
      </c>
      <c r="E145" s="113">
        <f>+'2-Input - IIFS Liqudity'!K147*'3-Assumptions'!$B116</f>
        <v>0</v>
      </c>
      <c r="F145" s="113">
        <f>+'2-Input - IIFS Liqudity'!L147*'3-Assumptions'!$B116</f>
        <v>0</v>
      </c>
      <c r="G145" s="114">
        <f>+'2-Input - IIFS Liqudity'!M147*'3-Assumptions'!$B116</f>
        <v>0</v>
      </c>
    </row>
    <row r="146" spans="1:7" ht="25.5" x14ac:dyDescent="0.2">
      <c r="A146" s="139" t="s">
        <v>343</v>
      </c>
      <c r="B146" s="99">
        <f t="shared" si="46"/>
        <v>0</v>
      </c>
      <c r="C146" s="115">
        <f>+'2-Input - IIFS Liqudity'!I148*'3-Assumptions'!$B117</f>
        <v>0</v>
      </c>
      <c r="D146" s="116">
        <f>+'2-Input - IIFS Liqudity'!J148*'3-Assumptions'!$B117</f>
        <v>0</v>
      </c>
      <c r="E146" s="116">
        <f>+'2-Input - IIFS Liqudity'!K148*'3-Assumptions'!$B117</f>
        <v>0</v>
      </c>
      <c r="F146" s="116">
        <f>+'2-Input - IIFS Liqudity'!L148*'3-Assumptions'!$B117</f>
        <v>0</v>
      </c>
      <c r="G146" s="117">
        <f>+'2-Input - IIFS Liqudity'!M148*'3-Assumptions'!$B117</f>
        <v>0</v>
      </c>
    </row>
    <row r="148" spans="1:7" x14ac:dyDescent="0.2">
      <c r="B148" s="104" t="str">
        <f t="shared" ref="B148:G148" si="48">+B131</f>
        <v>Total</v>
      </c>
      <c r="C148" s="105" t="str">
        <f t="shared" si="48"/>
        <v>IIFS1</v>
      </c>
      <c r="D148" s="105" t="str">
        <f t="shared" si="48"/>
        <v>IIFS2</v>
      </c>
      <c r="E148" s="105" t="str">
        <f t="shared" si="48"/>
        <v>IIFS3</v>
      </c>
      <c r="F148" s="105" t="str">
        <f t="shared" si="48"/>
        <v>IIFS4</v>
      </c>
      <c r="G148" s="151" t="str">
        <f t="shared" si="48"/>
        <v>IIFS5</v>
      </c>
    </row>
    <row r="149" spans="1:7" ht="18" customHeight="1" x14ac:dyDescent="0.2">
      <c r="A149" s="106" t="s">
        <v>314</v>
      </c>
      <c r="B149" s="145"/>
      <c r="C149" s="146">
        <f>+C150+C156+C166+C173</f>
        <v>1134643.6751729092</v>
      </c>
      <c r="D149" s="147">
        <f>+D150+D156+D166+D173</f>
        <v>1316765.396843178</v>
      </c>
      <c r="E149" s="147">
        <f t="shared" ref="E149:G149" si="49">+E150+E156+E166+E173</f>
        <v>1524144.795609599</v>
      </c>
      <c r="F149" s="147">
        <f t="shared" si="49"/>
        <v>1192909.8777404709</v>
      </c>
      <c r="G149" s="148">
        <f t="shared" si="49"/>
        <v>1388452.5435560315</v>
      </c>
    </row>
    <row r="150" spans="1:7" ht="13.5" thickBot="1" x14ac:dyDescent="0.25">
      <c r="A150" s="107" t="s">
        <v>275</v>
      </c>
      <c r="B150" s="96">
        <f>SUM(C150:G150)</f>
        <v>2053848.7828559638</v>
      </c>
      <c r="C150" s="93">
        <f>C151+C155</f>
        <v>346568.25614674174</v>
      </c>
      <c r="D150" s="94">
        <f t="shared" ref="D150:G150" si="50">D151+D155</f>
        <v>503484.20503063226</v>
      </c>
      <c r="E150" s="94">
        <f t="shared" si="50"/>
        <v>526307.97611836693</v>
      </c>
      <c r="F150" s="94">
        <f t="shared" si="50"/>
        <v>442563.63559970871</v>
      </c>
      <c r="G150" s="95">
        <f t="shared" si="50"/>
        <v>234924.7099605141</v>
      </c>
    </row>
    <row r="151" spans="1:7" x14ac:dyDescent="0.2">
      <c r="A151" s="108" t="s">
        <v>276</v>
      </c>
      <c r="B151" s="97">
        <f>SUM(C151:G151)</f>
        <v>2053848.7828559638</v>
      </c>
      <c r="C151" s="109">
        <f>SUM(C152:C154)</f>
        <v>346568.25614674174</v>
      </c>
      <c r="D151" s="110">
        <f t="shared" ref="D151:G151" si="51">SUM(D152:D154)</f>
        <v>503484.20503063226</v>
      </c>
      <c r="E151" s="110">
        <f t="shared" si="51"/>
        <v>526307.97611836693</v>
      </c>
      <c r="F151" s="110">
        <f t="shared" si="51"/>
        <v>442563.63559970871</v>
      </c>
      <c r="G151" s="111">
        <f t="shared" si="51"/>
        <v>234924.7099605141</v>
      </c>
    </row>
    <row r="152" spans="1:7" ht="25.5" x14ac:dyDescent="0.2">
      <c r="A152" s="108" t="s">
        <v>277</v>
      </c>
      <c r="B152" s="98">
        <f t="shared" ref="B152:B154" si="52">SUM(C152:G152)</f>
        <v>0</v>
      </c>
      <c r="C152" s="112">
        <f>+'2-Input - IIFS Liqudity'!I154*'3-Assumptions'!$I106</f>
        <v>0</v>
      </c>
      <c r="D152" s="113">
        <f>+'2-Input - IIFS Liqudity'!J154*'3-Assumptions'!$I106</f>
        <v>0</v>
      </c>
      <c r="E152" s="113">
        <f>+'2-Input - IIFS Liqudity'!K154*'3-Assumptions'!$I106</f>
        <v>0</v>
      </c>
      <c r="F152" s="113">
        <f>+'2-Input - IIFS Liqudity'!L154*'3-Assumptions'!$I106</f>
        <v>0</v>
      </c>
      <c r="G152" s="114">
        <f>+'2-Input - IIFS Liqudity'!M154*'3-Assumptions'!$I106</f>
        <v>0</v>
      </c>
    </row>
    <row r="153" spans="1:7" x14ac:dyDescent="0.2">
      <c r="A153" s="108" t="s">
        <v>278</v>
      </c>
      <c r="B153" s="98">
        <f t="shared" si="52"/>
        <v>281497.65365066263</v>
      </c>
      <c r="C153" s="112">
        <f>+'2-Input - IIFS Liqudity'!I155*'3-Assumptions'!$I107</f>
        <v>50726.578460749079</v>
      </c>
      <c r="D153" s="113">
        <f>+'2-Input - IIFS Liqudity'!J155*'3-Assumptions'!$I107</f>
        <v>70867.522781181367</v>
      </c>
      <c r="E153" s="113">
        <f>+'2-Input - IIFS Liqudity'!K155*'3-Assumptions'!$I107</f>
        <v>66492.264013151886</v>
      </c>
      <c r="F153" s="113">
        <f>+'2-Input - IIFS Liqudity'!L155*'3-Assumptions'!$I107</f>
        <v>61513.237288856522</v>
      </c>
      <c r="G153" s="114">
        <f>+'2-Input - IIFS Liqudity'!M155*'3-Assumptions'!$I107</f>
        <v>31898.051106723789</v>
      </c>
    </row>
    <row r="154" spans="1:7" x14ac:dyDescent="0.2">
      <c r="A154" s="108" t="s">
        <v>279</v>
      </c>
      <c r="B154" s="98">
        <f t="shared" si="52"/>
        <v>1772351.1292053012</v>
      </c>
      <c r="C154" s="112">
        <f>+'2-Input - IIFS Liqudity'!I156*'3-Assumptions'!$I108</f>
        <v>295841.67768599268</v>
      </c>
      <c r="D154" s="113">
        <f>+'2-Input - IIFS Liqudity'!J156*'3-Assumptions'!$I108</f>
        <v>432616.68224945088</v>
      </c>
      <c r="E154" s="113">
        <f>+'2-Input - IIFS Liqudity'!K156*'3-Assumptions'!$I108</f>
        <v>459815.71210521506</v>
      </c>
      <c r="F154" s="113">
        <f>+'2-Input - IIFS Liqudity'!L156*'3-Assumptions'!$I108</f>
        <v>381050.39831085218</v>
      </c>
      <c r="G154" s="114">
        <f>+'2-Input - IIFS Liqudity'!M156*'3-Assumptions'!$I108</f>
        <v>203026.65885379032</v>
      </c>
    </row>
    <row r="155" spans="1:7" x14ac:dyDescent="0.2">
      <c r="A155" s="108" t="s">
        <v>303</v>
      </c>
      <c r="B155" s="99">
        <f t="shared" ref="B155" si="53">SUM(C155:G155)</f>
        <v>0</v>
      </c>
      <c r="C155" s="115">
        <f>+'2-Input - IIFS Liqudity'!I157*'3-Assumptions'!$I109</f>
        <v>0</v>
      </c>
      <c r="D155" s="116">
        <f>+'2-Input - IIFS Liqudity'!J157*'3-Assumptions'!$I109</f>
        <v>0</v>
      </c>
      <c r="E155" s="116">
        <f>+'2-Input - IIFS Liqudity'!K157*'3-Assumptions'!$I109</f>
        <v>0</v>
      </c>
      <c r="F155" s="116">
        <f>+'2-Input - IIFS Liqudity'!L157*'3-Assumptions'!$I109</f>
        <v>0</v>
      </c>
      <c r="G155" s="117">
        <f>+'2-Input - IIFS Liqudity'!M157*'3-Assumptions'!$I109</f>
        <v>0</v>
      </c>
    </row>
    <row r="156" spans="1:7" ht="13.5" thickBot="1" x14ac:dyDescent="0.25">
      <c r="A156" s="118" t="s">
        <v>280</v>
      </c>
      <c r="B156" s="96"/>
      <c r="C156" s="93">
        <f>+C157+C160+C161+C162+C163+C164+C165</f>
        <v>786691.41902616736</v>
      </c>
      <c r="D156" s="94">
        <f t="shared" ref="D156:G156" si="54">+D157+D160+D161+D162+D163+D164+D165</f>
        <v>804262.44181254576</v>
      </c>
      <c r="E156" s="94">
        <f t="shared" si="54"/>
        <v>987585.21949123207</v>
      </c>
      <c r="F156" s="94">
        <f t="shared" si="54"/>
        <v>748294.79214076232</v>
      </c>
      <c r="G156" s="95">
        <f t="shared" si="54"/>
        <v>1122271.8835955176</v>
      </c>
    </row>
    <row r="157" spans="1:7" ht="25.5" x14ac:dyDescent="0.2">
      <c r="A157" s="108" t="s">
        <v>281</v>
      </c>
      <c r="B157" s="97"/>
      <c r="C157" s="109">
        <f>SUM(C158:C159)</f>
        <v>286885.4090261673</v>
      </c>
      <c r="D157" s="110">
        <f t="shared" ref="D157:G157" si="55">SUM(D158:D159)</f>
        <v>281467.79181254579</v>
      </c>
      <c r="E157" s="110">
        <f t="shared" si="55"/>
        <v>375074.23949123209</v>
      </c>
      <c r="F157" s="110">
        <f t="shared" si="55"/>
        <v>251758.14214076236</v>
      </c>
      <c r="G157" s="111">
        <f t="shared" si="55"/>
        <v>335455.89359551755</v>
      </c>
    </row>
    <row r="158" spans="1:7" x14ac:dyDescent="0.2">
      <c r="A158" s="108" t="s">
        <v>278</v>
      </c>
      <c r="B158" s="98">
        <f t="shared" ref="B158:B163" si="56">SUM(C158:G158)</f>
        <v>378041.53393377509</v>
      </c>
      <c r="C158" s="112">
        <f>+'2-Input - IIFS Liqudity'!I160*'3-Assumptions'!$I112</f>
        <v>64536.870973832723</v>
      </c>
      <c r="D158" s="113">
        <f>+'2-Input - IIFS Liqudity'!J160*'3-Assumptions'!$I112</f>
        <v>73647.628187454233</v>
      </c>
      <c r="E158" s="113">
        <f>+'2-Input - IIFS Liqudity'!K160*'3-Assumptions'!$I112</f>
        <v>101370.39050876792</v>
      </c>
      <c r="F158" s="113">
        <f>+'2-Input - IIFS Liqudity'!L160*'3-Assumptions'!$I112</f>
        <v>66542.877859237691</v>
      </c>
      <c r="G158" s="114">
        <f>+'2-Input - IIFS Liqudity'!M160*'3-Assumptions'!$I112</f>
        <v>71943.766404482521</v>
      </c>
    </row>
    <row r="159" spans="1:7" x14ac:dyDescent="0.2">
      <c r="A159" s="108" t="s">
        <v>282</v>
      </c>
      <c r="B159" s="98">
        <f t="shared" si="56"/>
        <v>1152599.9421324499</v>
      </c>
      <c r="C159" s="112">
        <f>+'2-Input - IIFS Liqudity'!I161*'3-Assumptions'!$I113</f>
        <v>222348.53805233457</v>
      </c>
      <c r="D159" s="113">
        <f>+'2-Input - IIFS Liqudity'!J161*'3-Assumptions'!$I113</f>
        <v>207820.16362509155</v>
      </c>
      <c r="E159" s="113">
        <f>+'2-Input - IIFS Liqudity'!K161*'3-Assumptions'!$I113</f>
        <v>273703.84898246417</v>
      </c>
      <c r="F159" s="113">
        <f>+'2-Input - IIFS Liqudity'!L161*'3-Assumptions'!$I113</f>
        <v>185215.26428152467</v>
      </c>
      <c r="G159" s="114">
        <f>+'2-Input - IIFS Liqudity'!M161*'3-Assumptions'!$I113</f>
        <v>263512.12719103502</v>
      </c>
    </row>
    <row r="160" spans="1:7" ht="25.5" x14ac:dyDescent="0.2">
      <c r="A160" s="108" t="s">
        <v>283</v>
      </c>
      <c r="B160" s="98">
        <f t="shared" si="56"/>
        <v>396849.89999999997</v>
      </c>
      <c r="C160" s="112">
        <f>+'2-Input - IIFS Liqudity'!I162*'3-Assumptions'!$I114</f>
        <v>67736.75</v>
      </c>
      <c r="D160" s="113">
        <f>+'2-Input - IIFS Liqudity'!J162*'3-Assumptions'!$I114</f>
        <v>86907</v>
      </c>
      <c r="E160" s="113">
        <f>+'2-Input - IIFS Liqudity'!K162*'3-Assumptions'!$I114</f>
        <v>94563.5</v>
      </c>
      <c r="F160" s="113">
        <f>+'2-Input - IIFS Liqudity'!L162*'3-Assumptions'!$I114</f>
        <v>57211.100000000006</v>
      </c>
      <c r="G160" s="114">
        <f>+'2-Input - IIFS Liqudity'!M162*'3-Assumptions'!$I114</f>
        <v>90431.55</v>
      </c>
    </row>
    <row r="161" spans="1:7" x14ac:dyDescent="0.2">
      <c r="A161" s="108" t="s">
        <v>284</v>
      </c>
      <c r="B161" s="98">
        <f t="shared" si="56"/>
        <v>0</v>
      </c>
      <c r="C161" s="112">
        <f>+'2-Input - IIFS Liqudity'!I163*'3-Assumptions'!$I115</f>
        <v>0</v>
      </c>
      <c r="D161" s="113">
        <f>+'2-Input - IIFS Liqudity'!J163*'3-Assumptions'!$I115</f>
        <v>0</v>
      </c>
      <c r="E161" s="113">
        <f>+'2-Input - IIFS Liqudity'!K163*'3-Assumptions'!$I115</f>
        <v>0</v>
      </c>
      <c r="F161" s="113">
        <f>+'2-Input - IIFS Liqudity'!L163*'3-Assumptions'!$I115</f>
        <v>0</v>
      </c>
      <c r="G161" s="114">
        <f>+'2-Input - IIFS Liqudity'!M163*'3-Assumptions'!$I115</f>
        <v>0</v>
      </c>
    </row>
    <row r="162" spans="1:7" ht="25.5" x14ac:dyDescent="0.2">
      <c r="A162" s="108" t="s">
        <v>285</v>
      </c>
      <c r="B162" s="98">
        <f t="shared" si="56"/>
        <v>247862.90000000002</v>
      </c>
      <c r="C162" s="112">
        <f>+'2-Input - IIFS Liqudity'!I164*'3-Assumptions'!$I116</f>
        <v>78497.100000000006</v>
      </c>
      <c r="D162" s="113">
        <f>+'2-Input - IIFS Liqudity'!J164*'3-Assumptions'!$I116</f>
        <v>30937.25</v>
      </c>
      <c r="E162" s="113">
        <f>+'2-Input - IIFS Liqudity'!K164*'3-Assumptions'!$I116</f>
        <v>64710</v>
      </c>
      <c r="F162" s="113">
        <f>+'2-Input - IIFS Liqudity'!L164*'3-Assumptions'!$I116</f>
        <v>28605.550000000003</v>
      </c>
      <c r="G162" s="114">
        <f>+'2-Input - IIFS Liqudity'!M164*'3-Assumptions'!$I116</f>
        <v>45113</v>
      </c>
    </row>
    <row r="163" spans="1:7" ht="25.5" x14ac:dyDescent="0.2">
      <c r="A163" s="108" t="s">
        <v>286</v>
      </c>
      <c r="B163" s="98">
        <f t="shared" si="56"/>
        <v>2273751.48</v>
      </c>
      <c r="C163" s="112">
        <f>+'2-Input - IIFS Liqudity'!I165*'3-Assumptions'!$I117</f>
        <v>353572.16000000003</v>
      </c>
      <c r="D163" s="113">
        <f>+'2-Input - IIFS Liqudity'!J165*'3-Assumptions'!$I117</f>
        <v>404950.4</v>
      </c>
      <c r="E163" s="113">
        <f>+'2-Input - IIFS Liqudity'!K165*'3-Assumptions'!$I117</f>
        <v>453237.48</v>
      </c>
      <c r="F163" s="113">
        <f>+'2-Input - IIFS Liqudity'!L165*'3-Assumptions'!$I117</f>
        <v>410720</v>
      </c>
      <c r="G163" s="114">
        <f>+'2-Input - IIFS Liqudity'!M165*'3-Assumptions'!$I117</f>
        <v>651271.44000000006</v>
      </c>
    </row>
    <row r="164" spans="1:7" x14ac:dyDescent="0.2">
      <c r="A164" s="108" t="s">
        <v>287</v>
      </c>
      <c r="B164" s="98">
        <f t="shared" ref="B164:B165" si="57">SUM(C164:G164)</f>
        <v>0</v>
      </c>
      <c r="C164" s="112">
        <f>+'2-Input - IIFS Liqudity'!I166*'3-Assumptions'!$I118</f>
        <v>0</v>
      </c>
      <c r="D164" s="113">
        <f>+'2-Input - IIFS Liqudity'!J166*'3-Assumptions'!$I118</f>
        <v>0</v>
      </c>
      <c r="E164" s="113">
        <f>+'2-Input - IIFS Liqudity'!K166*'3-Assumptions'!$I118</f>
        <v>0</v>
      </c>
      <c r="F164" s="113">
        <f>+'2-Input - IIFS Liqudity'!L166*'3-Assumptions'!$I118</f>
        <v>0</v>
      </c>
      <c r="G164" s="114">
        <f>+'2-Input - IIFS Liqudity'!M166*'3-Assumptions'!$I118</f>
        <v>0</v>
      </c>
    </row>
    <row r="165" spans="1:7" x14ac:dyDescent="0.2">
      <c r="A165" s="108" t="s">
        <v>288</v>
      </c>
      <c r="B165" s="99">
        <f t="shared" si="57"/>
        <v>0</v>
      </c>
      <c r="C165" s="115">
        <f>+'2-Input - IIFS Liqudity'!I167*'3-Assumptions'!$I119</f>
        <v>0</v>
      </c>
      <c r="D165" s="116">
        <f>+'2-Input - IIFS Liqudity'!J167*'3-Assumptions'!$I119</f>
        <v>0</v>
      </c>
      <c r="E165" s="116">
        <f>+'2-Input - IIFS Liqudity'!K167*'3-Assumptions'!$I119</f>
        <v>0</v>
      </c>
      <c r="F165" s="116">
        <f>+'2-Input - IIFS Liqudity'!L167*'3-Assumptions'!$I119</f>
        <v>0</v>
      </c>
      <c r="G165" s="117">
        <f>+'2-Input - IIFS Liqudity'!M167*'3-Assumptions'!$I119</f>
        <v>0</v>
      </c>
    </row>
    <row r="166" spans="1:7" ht="13.5" thickBot="1" x14ac:dyDescent="0.25">
      <c r="A166" s="118" t="s">
        <v>289</v>
      </c>
      <c r="B166" s="143"/>
      <c r="C166" s="100">
        <f>SUM(C167:C172)</f>
        <v>1384</v>
      </c>
      <c r="D166" s="101">
        <f t="shared" ref="D166:G166" si="58">SUM(D167:D172)</f>
        <v>9018.75</v>
      </c>
      <c r="E166" s="101">
        <f t="shared" si="58"/>
        <v>10251.599999999999</v>
      </c>
      <c r="F166" s="101">
        <f t="shared" si="58"/>
        <v>2051.4499999999998</v>
      </c>
      <c r="G166" s="102">
        <f t="shared" si="58"/>
        <v>31255.949999999997</v>
      </c>
    </row>
    <row r="167" spans="1:7" ht="25.5" x14ac:dyDescent="0.2">
      <c r="A167" s="108" t="s">
        <v>290</v>
      </c>
      <c r="B167" s="97">
        <f t="shared" ref="B167:B172" si="59">SUM(C167:G167)</f>
        <v>0</v>
      </c>
      <c r="C167" s="109">
        <f>'2-Input - IIFS Liqudity'!I169*'3-Assumptions'!$I121</f>
        <v>0</v>
      </c>
      <c r="D167" s="110">
        <f>'2-Input - IIFS Liqudity'!J169*'3-Assumptions'!$I121</f>
        <v>0</v>
      </c>
      <c r="E167" s="110">
        <f>'2-Input - IIFS Liqudity'!K169*'3-Assumptions'!$I121</f>
        <v>0</v>
      </c>
      <c r="F167" s="110">
        <f>'2-Input - IIFS Liqudity'!L169*'3-Assumptions'!$I121</f>
        <v>0</v>
      </c>
      <c r="G167" s="111">
        <f>'2-Input - IIFS Liqudity'!M169*'3-Assumptions'!$I121</f>
        <v>0</v>
      </c>
    </row>
    <row r="168" spans="1:7" ht="25.5" x14ac:dyDescent="0.2">
      <c r="A168" s="108" t="s">
        <v>291</v>
      </c>
      <c r="B168" s="98">
        <f t="shared" si="59"/>
        <v>25560.75</v>
      </c>
      <c r="C168" s="112">
        <f>'2-Input - IIFS Liqudity'!I170*'3-Assumptions'!$I122</f>
        <v>655.5</v>
      </c>
      <c r="D168" s="113">
        <f>'2-Input - IIFS Liqudity'!J170*'3-Assumptions'!$I122</f>
        <v>4272</v>
      </c>
      <c r="E168" s="113">
        <f>'2-Input - IIFS Liqudity'!K170*'3-Assumptions'!$I122</f>
        <v>4856.0999999999995</v>
      </c>
      <c r="F168" s="113">
        <f>'2-Input - IIFS Liqudity'!L170*'3-Assumptions'!$I122</f>
        <v>971.69999999999993</v>
      </c>
      <c r="G168" s="114">
        <f>'2-Input - IIFS Liqudity'!M170*'3-Assumptions'!$I122</f>
        <v>14805.449999999999</v>
      </c>
    </row>
    <row r="169" spans="1:7" ht="38.25" x14ac:dyDescent="0.2">
      <c r="A169" s="108" t="s">
        <v>292</v>
      </c>
      <c r="B169" s="98">
        <f t="shared" si="59"/>
        <v>28401</v>
      </c>
      <c r="C169" s="112">
        <f>'2-Input - IIFS Liqudity'!I171*'3-Assumptions'!$I123</f>
        <v>728.5</v>
      </c>
      <c r="D169" s="113">
        <f>'2-Input - IIFS Liqudity'!J171*'3-Assumptions'!$I123</f>
        <v>4746.75</v>
      </c>
      <c r="E169" s="113">
        <f>'2-Input - IIFS Liqudity'!K171*'3-Assumptions'!$I123</f>
        <v>5395.5</v>
      </c>
      <c r="F169" s="113">
        <f>'2-Input - IIFS Liqudity'!L171*'3-Assumptions'!$I123</f>
        <v>1079.75</v>
      </c>
      <c r="G169" s="114">
        <f>'2-Input - IIFS Liqudity'!M171*'3-Assumptions'!$I123</f>
        <v>16450.5</v>
      </c>
    </row>
    <row r="170" spans="1:7" ht="25.5" x14ac:dyDescent="0.2">
      <c r="A170" s="108" t="s">
        <v>293</v>
      </c>
      <c r="B170" s="98">
        <f t="shared" si="59"/>
        <v>0</v>
      </c>
      <c r="C170" s="112">
        <f>'2-Input - IIFS Liqudity'!I172*'3-Assumptions'!$I124</f>
        <v>0</v>
      </c>
      <c r="D170" s="113">
        <f>'2-Input - IIFS Liqudity'!J172*'3-Assumptions'!$I124</f>
        <v>0</v>
      </c>
      <c r="E170" s="113">
        <f>'2-Input - IIFS Liqudity'!K172*'3-Assumptions'!$I124</f>
        <v>0</v>
      </c>
      <c r="F170" s="113">
        <f>'2-Input - IIFS Liqudity'!L172*'3-Assumptions'!$I124</f>
        <v>0</v>
      </c>
      <c r="G170" s="114">
        <f>'2-Input - IIFS Liqudity'!M172*'3-Assumptions'!$I124</f>
        <v>0</v>
      </c>
    </row>
    <row r="171" spans="1:7" x14ac:dyDescent="0.2">
      <c r="A171" s="108" t="s">
        <v>4</v>
      </c>
      <c r="B171" s="98">
        <f t="shared" si="59"/>
        <v>0</v>
      </c>
      <c r="C171" s="112">
        <f>'2-Input - IIFS Liqudity'!I173*'3-Assumptions'!$I125</f>
        <v>0</v>
      </c>
      <c r="D171" s="113">
        <f>'2-Input - IIFS Liqudity'!J173*'3-Assumptions'!$I125</f>
        <v>0</v>
      </c>
      <c r="E171" s="113">
        <f>'2-Input - IIFS Liqudity'!K173*'3-Assumptions'!$I125</f>
        <v>0</v>
      </c>
      <c r="F171" s="113">
        <f>'2-Input - IIFS Liqudity'!L173*'3-Assumptions'!$I125</f>
        <v>0</v>
      </c>
      <c r="G171" s="114">
        <f>'2-Input - IIFS Liqudity'!M173*'3-Assumptions'!$I125</f>
        <v>0</v>
      </c>
    </row>
    <row r="172" spans="1:7" x14ac:dyDescent="0.2">
      <c r="A172" s="108" t="s">
        <v>294</v>
      </c>
      <c r="B172" s="99">
        <f t="shared" si="59"/>
        <v>0</v>
      </c>
      <c r="C172" s="115">
        <f>'2-Input - IIFS Liqudity'!I174*'3-Assumptions'!$I126</f>
        <v>0</v>
      </c>
      <c r="D172" s="116">
        <f>'2-Input - IIFS Liqudity'!J174*'3-Assumptions'!$I126</f>
        <v>0</v>
      </c>
      <c r="E172" s="116">
        <f>'2-Input - IIFS Liqudity'!K174*'3-Assumptions'!$I126</f>
        <v>0</v>
      </c>
      <c r="F172" s="116">
        <f>'2-Input - IIFS Liqudity'!L174*'3-Assumptions'!$I126</f>
        <v>0</v>
      </c>
      <c r="G172" s="117">
        <f>'2-Input - IIFS Liqudity'!M174*'3-Assumptions'!$I126</f>
        <v>0</v>
      </c>
    </row>
    <row r="173" spans="1:7" ht="13.5" thickBot="1" x14ac:dyDescent="0.25">
      <c r="A173" s="118" t="s">
        <v>315</v>
      </c>
      <c r="B173" s="127"/>
      <c r="C173" s="140">
        <f>SUM(C174:C187)</f>
        <v>0</v>
      </c>
      <c r="D173" s="141">
        <f t="shared" ref="D173:G173" si="60">SUM(D174:D187)</f>
        <v>0</v>
      </c>
      <c r="E173" s="141">
        <f t="shared" si="60"/>
        <v>0</v>
      </c>
      <c r="F173" s="141">
        <f t="shared" si="60"/>
        <v>0</v>
      </c>
      <c r="G173" s="142">
        <f t="shared" si="60"/>
        <v>0</v>
      </c>
    </row>
    <row r="174" spans="1:7" x14ac:dyDescent="0.2">
      <c r="A174" s="108" t="str">
        <f>'2-Input - IIFS Liqudity'!C176</f>
        <v>Sharī`ah-compliant hedging (Tahawwut)</v>
      </c>
      <c r="B174" s="97">
        <f t="shared" ref="B174:B187" si="61">SUM(C174:G174)</f>
        <v>0</v>
      </c>
      <c r="C174" s="109">
        <f>'2-Input - IIFS Liqudity'!I176*'3-Assumptions'!$I128</f>
        <v>0</v>
      </c>
      <c r="D174" s="110">
        <f>'2-Input - IIFS Liqudity'!J176*'3-Assumptions'!$I128</f>
        <v>0</v>
      </c>
      <c r="E174" s="110">
        <f>'2-Input - IIFS Liqudity'!K176*'3-Assumptions'!$I128</f>
        <v>0</v>
      </c>
      <c r="F174" s="110">
        <f>'2-Input - IIFS Liqudity'!L176*'3-Assumptions'!$I128</f>
        <v>0</v>
      </c>
      <c r="G174" s="111">
        <f>'2-Input - IIFS Liqudity'!M176*'3-Assumptions'!$I128</f>
        <v>0</v>
      </c>
    </row>
    <row r="175" spans="1:7" ht="25.5" x14ac:dyDescent="0.2">
      <c r="A175" s="108" t="str">
        <f>'2-Input - IIFS Liqudity'!C177</f>
        <v>Undrawn credit and liquidity facilities to retail and small business customers</v>
      </c>
      <c r="B175" s="98">
        <f t="shared" si="61"/>
        <v>0</v>
      </c>
      <c r="C175" s="112">
        <f>'2-Input - IIFS Liqudity'!I177*'3-Assumptions'!$I129</f>
        <v>0</v>
      </c>
      <c r="D175" s="113">
        <f>'2-Input - IIFS Liqudity'!J177*'3-Assumptions'!$I129</f>
        <v>0</v>
      </c>
      <c r="E175" s="113">
        <f>'2-Input - IIFS Liqudity'!K177*'3-Assumptions'!$I129</f>
        <v>0</v>
      </c>
      <c r="F175" s="113">
        <f>'2-Input - IIFS Liqudity'!L177*'3-Assumptions'!$I129</f>
        <v>0</v>
      </c>
      <c r="G175" s="114">
        <f>'2-Input - IIFS Liqudity'!M177*'3-Assumptions'!$I129</f>
        <v>0</v>
      </c>
    </row>
    <row r="176" spans="1:7" ht="25.5" x14ac:dyDescent="0.2">
      <c r="A176" s="108" t="str">
        <f>'2-Input - IIFS Liqudity'!C178</f>
        <v>Undrawn credit facilities to non-financial corporate, as well as sovereign, central banks, PSEs and multilateral development banks</v>
      </c>
      <c r="B176" s="98">
        <f t="shared" si="61"/>
        <v>0</v>
      </c>
      <c r="C176" s="112">
        <f>'2-Input - IIFS Liqudity'!I178*'3-Assumptions'!$I130</f>
        <v>0</v>
      </c>
      <c r="D176" s="113">
        <f>'2-Input - IIFS Liqudity'!J178*'3-Assumptions'!$I130</f>
        <v>0</v>
      </c>
      <c r="E176" s="113">
        <f>'2-Input - IIFS Liqudity'!K178*'3-Assumptions'!$I130</f>
        <v>0</v>
      </c>
      <c r="F176" s="113">
        <f>'2-Input - IIFS Liqudity'!L178*'3-Assumptions'!$I130</f>
        <v>0</v>
      </c>
      <c r="G176" s="114">
        <f>'2-Input - IIFS Liqudity'!M178*'3-Assumptions'!$I130</f>
        <v>0</v>
      </c>
    </row>
    <row r="177" spans="1:26" x14ac:dyDescent="0.2">
      <c r="A177" s="108" t="str">
        <f>'2-Input - IIFS Liqudity'!C179</f>
        <v>Other contractual obligations extend to financial institution</v>
      </c>
      <c r="B177" s="98">
        <f t="shared" si="61"/>
        <v>0</v>
      </c>
      <c r="C177" s="112">
        <f>'2-Input - IIFS Liqudity'!I179*'3-Assumptions'!$I131</f>
        <v>0</v>
      </c>
      <c r="D177" s="113">
        <f>'2-Input - IIFS Liqudity'!J179*'3-Assumptions'!$I131</f>
        <v>0</v>
      </c>
      <c r="E177" s="113">
        <f>'2-Input - IIFS Liqudity'!K179*'3-Assumptions'!$I131</f>
        <v>0</v>
      </c>
      <c r="F177" s="113">
        <f>'2-Input - IIFS Liqudity'!L179*'3-Assumptions'!$I131</f>
        <v>0</v>
      </c>
      <c r="G177" s="114">
        <f>'2-Input - IIFS Liqudity'!M179*'3-Assumptions'!$I131</f>
        <v>0</v>
      </c>
    </row>
    <row r="178" spans="1:26" x14ac:dyDescent="0.2">
      <c r="A178" s="108" t="str">
        <f>'2-Input - IIFS Liqudity'!C180</f>
        <v>Trade finance</v>
      </c>
      <c r="B178" s="98">
        <f t="shared" si="61"/>
        <v>0</v>
      </c>
      <c r="C178" s="112">
        <f>'2-Input - IIFS Liqudity'!I180*'3-Assumptions'!$I132</f>
        <v>0</v>
      </c>
      <c r="D178" s="113">
        <f>'2-Input - IIFS Liqudity'!J180*'3-Assumptions'!$I132</f>
        <v>0</v>
      </c>
      <c r="E178" s="113">
        <f>'2-Input - IIFS Liqudity'!K180*'3-Assumptions'!$I132</f>
        <v>0</v>
      </c>
      <c r="F178" s="113">
        <f>'2-Input - IIFS Liqudity'!L180*'3-Assumptions'!$I132</f>
        <v>0</v>
      </c>
      <c r="G178" s="114">
        <f>'2-Input - IIFS Liqudity'!M180*'3-Assumptions'!$I132</f>
        <v>0</v>
      </c>
    </row>
    <row r="179" spans="1:26" x14ac:dyDescent="0.2">
      <c r="A179" s="108" t="str">
        <f>'2-Input - IIFS Liqudity'!C181</f>
        <v>Any additional contractual outflows</v>
      </c>
      <c r="B179" s="98">
        <f t="shared" si="61"/>
        <v>0</v>
      </c>
      <c r="C179" s="112">
        <f>'2-Input - IIFS Liqudity'!I181*'3-Assumptions'!$I133</f>
        <v>0</v>
      </c>
      <c r="D179" s="113">
        <f>'2-Input - IIFS Liqudity'!J181*'3-Assumptions'!$I133</f>
        <v>0</v>
      </c>
      <c r="E179" s="113">
        <f>'2-Input - IIFS Liqudity'!K181*'3-Assumptions'!$I133</f>
        <v>0</v>
      </c>
      <c r="F179" s="113">
        <f>'2-Input - IIFS Liqudity'!L181*'3-Assumptions'!$I133</f>
        <v>0</v>
      </c>
      <c r="G179" s="114">
        <f>'2-Input - IIFS Liqudity'!M181*'3-Assumptions'!$I133</f>
        <v>0</v>
      </c>
    </row>
    <row r="180" spans="1:26" x14ac:dyDescent="0.2">
      <c r="A180" s="108" t="str">
        <f>'2-Input - IIFS Liqudity'!C182</f>
        <v>Any other contractual cash outflows</v>
      </c>
      <c r="B180" s="98">
        <f t="shared" si="61"/>
        <v>0</v>
      </c>
      <c r="C180" s="112">
        <f>'2-Input - IIFS Liqudity'!I182*'3-Assumptions'!$I134</f>
        <v>0</v>
      </c>
      <c r="D180" s="113">
        <f>'2-Input - IIFS Liqudity'!J182*'3-Assumptions'!$I134</f>
        <v>0</v>
      </c>
      <c r="E180" s="113">
        <f>'2-Input - IIFS Liqudity'!K182*'3-Assumptions'!$I134</f>
        <v>0</v>
      </c>
      <c r="F180" s="113">
        <f>'2-Input - IIFS Liqudity'!L182*'3-Assumptions'!$I134</f>
        <v>0</v>
      </c>
      <c r="G180" s="114">
        <f>'2-Input - IIFS Liqudity'!M182*'3-Assumptions'!$I134</f>
        <v>0</v>
      </c>
    </row>
    <row r="181" spans="1:26" x14ac:dyDescent="0.2">
      <c r="A181" s="108" t="str">
        <f>'2-Input - IIFS Liqudity'!C183</f>
        <v>Secured funding backed by Level 1 assets</v>
      </c>
      <c r="B181" s="98">
        <f t="shared" si="61"/>
        <v>0</v>
      </c>
      <c r="C181" s="112">
        <f>'2-Input - IIFS Liqudity'!I183*'3-Assumptions'!$I135</f>
        <v>0</v>
      </c>
      <c r="D181" s="113">
        <f>'2-Input - IIFS Liqudity'!J183*'3-Assumptions'!$I135</f>
        <v>0</v>
      </c>
      <c r="E181" s="113">
        <f>'2-Input - IIFS Liqudity'!K183*'3-Assumptions'!$I135</f>
        <v>0</v>
      </c>
      <c r="F181" s="113">
        <f>'2-Input - IIFS Liqudity'!L183*'3-Assumptions'!$I135</f>
        <v>0</v>
      </c>
      <c r="G181" s="114">
        <f>'2-Input - IIFS Liqudity'!M183*'3-Assumptions'!$I135</f>
        <v>0</v>
      </c>
    </row>
    <row r="182" spans="1:26" x14ac:dyDescent="0.2">
      <c r="A182" s="108" t="str">
        <f>'2-Input - IIFS Liqudity'!C184</f>
        <v>Secured funding backed by Level 2 assets</v>
      </c>
      <c r="B182" s="98">
        <f t="shared" si="61"/>
        <v>0</v>
      </c>
      <c r="C182" s="112">
        <f>'2-Input - IIFS Liqudity'!I184*'3-Assumptions'!$I136</f>
        <v>0</v>
      </c>
      <c r="D182" s="113">
        <f>'2-Input - IIFS Liqudity'!J184*'3-Assumptions'!$I136</f>
        <v>0</v>
      </c>
      <c r="E182" s="113">
        <f>'2-Input - IIFS Liqudity'!K184*'3-Assumptions'!$I136</f>
        <v>0</v>
      </c>
      <c r="F182" s="113">
        <f>'2-Input - IIFS Liqudity'!L184*'3-Assumptions'!$I136</f>
        <v>0</v>
      </c>
      <c r="G182" s="114">
        <f>'2-Input - IIFS Liqudity'!M184*'3-Assumptions'!$I136</f>
        <v>0</v>
      </c>
    </row>
    <row r="183" spans="1:26" x14ac:dyDescent="0.2">
      <c r="A183" s="108" t="str">
        <f>'2-Input - IIFS Liqudity'!C185</f>
        <v>Secured funding backed by other valuable assets (close to Level 2)</v>
      </c>
      <c r="B183" s="98">
        <f t="shared" si="61"/>
        <v>0</v>
      </c>
      <c r="C183" s="112">
        <f>'2-Input - IIFS Liqudity'!I185*'3-Assumptions'!$I137</f>
        <v>0</v>
      </c>
      <c r="D183" s="113">
        <f>'2-Input - IIFS Liqudity'!J185*'3-Assumptions'!$I137</f>
        <v>0</v>
      </c>
      <c r="E183" s="113">
        <f>'2-Input - IIFS Liqudity'!K185*'3-Assumptions'!$I137</f>
        <v>0</v>
      </c>
      <c r="F183" s="113">
        <f>'2-Input - IIFS Liqudity'!L185*'3-Assumptions'!$I137</f>
        <v>0</v>
      </c>
      <c r="G183" s="114">
        <f>'2-Input - IIFS Liqudity'!M185*'3-Assumptions'!$I137</f>
        <v>0</v>
      </c>
    </row>
    <row r="184" spans="1:26" x14ac:dyDescent="0.2">
      <c r="A184" s="108" t="str">
        <f>'2-Input - IIFS Liqudity'!C186</f>
        <v>Collateral needed in case of downgrade by 3 notches</v>
      </c>
      <c r="B184" s="98">
        <f t="shared" si="61"/>
        <v>0</v>
      </c>
      <c r="C184" s="112">
        <f>'2-Input - IIFS Liqudity'!I186*'3-Assumptions'!$I138</f>
        <v>0</v>
      </c>
      <c r="D184" s="113">
        <f>'2-Input - IIFS Liqudity'!J186*'3-Assumptions'!$I138</f>
        <v>0</v>
      </c>
      <c r="E184" s="113">
        <f>'2-Input - IIFS Liqudity'!K186*'3-Assumptions'!$I138</f>
        <v>0</v>
      </c>
      <c r="F184" s="113">
        <f>'2-Input - IIFS Liqudity'!L186*'3-Assumptions'!$I138</f>
        <v>0</v>
      </c>
      <c r="G184" s="114">
        <f>'2-Input - IIFS Liqudity'!M186*'3-Assumptions'!$I138</f>
        <v>0</v>
      </c>
    </row>
    <row r="185" spans="1:26" ht="25.5" x14ac:dyDescent="0.2">
      <c r="A185" s="108" t="str">
        <f>'2-Input - IIFS Liqudity'!C187</f>
        <v>Undrawn but committed credit facilities to corporate and retail customers</v>
      </c>
      <c r="B185" s="98">
        <f t="shared" si="61"/>
        <v>0</v>
      </c>
      <c r="C185" s="112">
        <f>'2-Input - IIFS Liqudity'!I187*'3-Assumptions'!$I139</f>
        <v>0</v>
      </c>
      <c r="D185" s="113">
        <f>'2-Input - IIFS Liqudity'!J187*'3-Assumptions'!$I139</f>
        <v>0</v>
      </c>
      <c r="E185" s="113">
        <f>'2-Input - IIFS Liqudity'!K187*'3-Assumptions'!$I139</f>
        <v>0</v>
      </c>
      <c r="F185" s="113">
        <f>'2-Input - IIFS Liqudity'!L187*'3-Assumptions'!$I139</f>
        <v>0</v>
      </c>
      <c r="G185" s="114">
        <f>'2-Input - IIFS Liqudity'!M187*'3-Assumptions'!$I139</f>
        <v>0</v>
      </c>
    </row>
    <row r="186" spans="1:26" x14ac:dyDescent="0.2">
      <c r="A186" s="108" t="str">
        <f>'2-Input - IIFS Liqudity'!C188</f>
        <v xml:space="preserve">Undrawn but committed liability facilities </v>
      </c>
      <c r="B186" s="98">
        <f t="shared" si="61"/>
        <v>0</v>
      </c>
      <c r="C186" s="112">
        <f>'2-Input - IIFS Liqudity'!I188*'3-Assumptions'!$I140</f>
        <v>0</v>
      </c>
      <c r="D186" s="113">
        <f>'2-Input - IIFS Liqudity'!J188*'3-Assumptions'!$I140</f>
        <v>0</v>
      </c>
      <c r="E186" s="113">
        <f>'2-Input - IIFS Liqudity'!K188*'3-Assumptions'!$I140</f>
        <v>0</v>
      </c>
      <c r="F186" s="113">
        <f>'2-Input - IIFS Liqudity'!L188*'3-Assumptions'!$I140</f>
        <v>0</v>
      </c>
      <c r="G186" s="114">
        <f>'2-Input - IIFS Liqudity'!M188*'3-Assumptions'!$I140</f>
        <v>0</v>
      </c>
    </row>
    <row r="187" spans="1:26" ht="23.25" customHeight="1" x14ac:dyDescent="0.2">
      <c r="A187" s="108" t="str">
        <f>'2-Input - IIFS Liqudity'!C189</f>
        <v xml:space="preserve">Other contingent funding liabilities and Shariah compliant hedging  (such as guarantees, letters of credit, revocable credit and liquidity facilities etc) </v>
      </c>
      <c r="B187" s="99">
        <f t="shared" si="61"/>
        <v>0</v>
      </c>
      <c r="C187" s="115">
        <f>'2-Input - IIFS Liqudity'!I189*'3-Assumptions'!$I141</f>
        <v>0</v>
      </c>
      <c r="D187" s="116">
        <f>'2-Input - IIFS Liqudity'!J189*'3-Assumptions'!$I141</f>
        <v>0</v>
      </c>
      <c r="E187" s="116">
        <f>'2-Input - IIFS Liqudity'!K189*'3-Assumptions'!$I141</f>
        <v>0</v>
      </c>
      <c r="F187" s="116">
        <f>'2-Input - IIFS Liqudity'!L189*'3-Assumptions'!$I141</f>
        <v>0</v>
      </c>
      <c r="G187" s="117">
        <f>'2-Input - IIFS Liqudity'!M189*'3-Assumptions'!$I141</f>
        <v>0</v>
      </c>
    </row>
    <row r="190" spans="1:26" s="73" customFormat="1" x14ac:dyDescent="0.2">
      <c r="A190" s="149" t="s">
        <v>320</v>
      </c>
      <c r="B190" s="150"/>
      <c r="C190" s="150"/>
      <c r="D190" s="150"/>
      <c r="E190" s="150"/>
      <c r="F190" s="150"/>
      <c r="G190" s="104"/>
      <c r="H190" s="158"/>
      <c r="I190" s="158"/>
      <c r="J190" s="158"/>
      <c r="K190" s="158"/>
      <c r="L190" s="158"/>
      <c r="M190" s="158"/>
      <c r="N190" s="158"/>
      <c r="O190" s="158"/>
      <c r="P190" s="158"/>
      <c r="Q190" s="158"/>
      <c r="R190" s="158"/>
      <c r="S190" s="158"/>
      <c r="T190" s="158"/>
      <c r="U190" s="158"/>
      <c r="V190" s="158"/>
      <c r="W190" s="158"/>
      <c r="X190" s="158"/>
      <c r="Y190" s="158"/>
      <c r="Z190" s="158"/>
    </row>
    <row r="191" spans="1:26" x14ac:dyDescent="0.2">
      <c r="B191" s="104" t="str">
        <f t="shared" ref="B191:G191" si="62">+B131</f>
        <v>Total</v>
      </c>
      <c r="C191" s="151" t="str">
        <f t="shared" si="62"/>
        <v>IIFS1</v>
      </c>
      <c r="D191" s="151" t="str">
        <f t="shared" si="62"/>
        <v>IIFS2</v>
      </c>
      <c r="E191" s="151" t="str">
        <f t="shared" si="62"/>
        <v>IIFS3</v>
      </c>
      <c r="F191" s="151" t="str">
        <f t="shared" si="62"/>
        <v>IIFS4</v>
      </c>
      <c r="G191" s="151" t="str">
        <f t="shared" si="62"/>
        <v>IIFS5</v>
      </c>
    </row>
    <row r="192" spans="1:26" x14ac:dyDescent="0.2">
      <c r="A192" s="106" t="s">
        <v>136</v>
      </c>
      <c r="B192" s="97">
        <f t="shared" ref="B192:B197" si="63">SUM(C192:G192)</f>
        <v>14935679.550000001</v>
      </c>
      <c r="C192" s="146">
        <f>SUM(C193:C197)</f>
        <v>3919197.1</v>
      </c>
      <c r="D192" s="147">
        <f t="shared" ref="D192:G192" si="64">SUM(D193:D197)</f>
        <v>3641192.8</v>
      </c>
      <c r="E192" s="147">
        <f t="shared" si="64"/>
        <v>2769719.5</v>
      </c>
      <c r="F192" s="147">
        <f t="shared" si="64"/>
        <v>2587930</v>
      </c>
      <c r="G192" s="148">
        <f t="shared" si="64"/>
        <v>2017640.15</v>
      </c>
    </row>
    <row r="193" spans="1:7" ht="38.25" x14ac:dyDescent="0.2">
      <c r="A193" s="108" t="s">
        <v>274</v>
      </c>
      <c r="B193" s="97">
        <f t="shared" si="63"/>
        <v>114942</v>
      </c>
      <c r="C193" s="109">
        <f>+'2-Input - IIFS Liqudity'!I193*'3-Assumptions'!$B147</f>
        <v>0</v>
      </c>
      <c r="D193" s="110">
        <f>+'2-Input - IIFS Liqudity'!J193*'3-Assumptions'!$B147</f>
        <v>21789</v>
      </c>
      <c r="E193" s="110">
        <f>+'2-Input - IIFS Liqudity'!K193*'3-Assumptions'!$B147</f>
        <v>30260</v>
      </c>
      <c r="F193" s="110">
        <f>+'2-Input - IIFS Liqudity'!L193*'3-Assumptions'!$B147</f>
        <v>7680</v>
      </c>
      <c r="G193" s="111">
        <f>+'2-Input - IIFS Liqudity'!M193*'3-Assumptions'!$B147</f>
        <v>55213</v>
      </c>
    </row>
    <row r="194" spans="1:7" ht="38.25" x14ac:dyDescent="0.2">
      <c r="A194" s="108" t="s">
        <v>5</v>
      </c>
      <c r="B194" s="98">
        <f t="shared" si="63"/>
        <v>2757814.85</v>
      </c>
      <c r="C194" s="112">
        <f>+'2-Input - IIFS Liqudity'!I194*'3-Assumptions'!$B148</f>
        <v>422094.5</v>
      </c>
      <c r="D194" s="113">
        <f>+'2-Input - IIFS Liqudity'!J194*'3-Assumptions'!$B148</f>
        <v>1637619.5</v>
      </c>
      <c r="E194" s="113">
        <f>+'2-Input - IIFS Liqudity'!K194*'3-Assumptions'!$B148</f>
        <v>273028.09999999998</v>
      </c>
      <c r="F194" s="113">
        <f>+'2-Input - IIFS Liqudity'!L194*'3-Assumptions'!$B148</f>
        <v>189217.19999999998</v>
      </c>
      <c r="G194" s="114">
        <f>+'2-Input - IIFS Liqudity'!M194*'3-Assumptions'!$B148</f>
        <v>235855.55</v>
      </c>
    </row>
    <row r="195" spans="1:7" ht="25.5" x14ac:dyDescent="0.2">
      <c r="A195" s="108" t="s">
        <v>6</v>
      </c>
      <c r="B195" s="98">
        <f t="shared" si="63"/>
        <v>6263440.2000000002</v>
      </c>
      <c r="C195" s="112">
        <f>+'2-Input - IIFS Liqudity'!I195*'3-Assumptions'!$B149</f>
        <v>1815803.1</v>
      </c>
      <c r="D195" s="113">
        <f>+'2-Input - IIFS Liqudity'!J195*'3-Assumptions'!$B149</f>
        <v>1029003.3</v>
      </c>
      <c r="E195" s="113">
        <f>+'2-Input - IIFS Liqudity'!K195*'3-Assumptions'!$B149</f>
        <v>1280646.9000000001</v>
      </c>
      <c r="F195" s="113">
        <f>+'2-Input - IIFS Liqudity'!L195*'3-Assumptions'!$B149</f>
        <v>1241497.8</v>
      </c>
      <c r="G195" s="114">
        <f>+'2-Input - IIFS Liqudity'!M195*'3-Assumptions'!$B149</f>
        <v>896489.1</v>
      </c>
    </row>
    <row r="196" spans="1:7" ht="102" x14ac:dyDescent="0.2">
      <c r="A196" s="108" t="s">
        <v>272</v>
      </c>
      <c r="B196" s="98">
        <f t="shared" si="63"/>
        <v>5799482.5</v>
      </c>
      <c r="C196" s="112">
        <f>+'2-Input - IIFS Liqudity'!I196*'3-Assumptions'!$B150</f>
        <v>1681299.5</v>
      </c>
      <c r="D196" s="113">
        <f>+'2-Input - IIFS Liqudity'!J196*'3-Assumptions'!$B150</f>
        <v>952781</v>
      </c>
      <c r="E196" s="113">
        <f>+'2-Input - IIFS Liqudity'!K196*'3-Assumptions'!$B150</f>
        <v>1185784.5</v>
      </c>
      <c r="F196" s="113">
        <f>+'2-Input - IIFS Liqudity'!L196*'3-Assumptions'!$B150</f>
        <v>1149535</v>
      </c>
      <c r="G196" s="114">
        <f>+'2-Input - IIFS Liqudity'!M196*'3-Assumptions'!$B150</f>
        <v>830082.5</v>
      </c>
    </row>
    <row r="197" spans="1:7" ht="102" x14ac:dyDescent="0.2">
      <c r="A197" s="108" t="s">
        <v>273</v>
      </c>
      <c r="B197" s="99">
        <f t="shared" si="63"/>
        <v>0</v>
      </c>
      <c r="C197" s="115">
        <f>+'2-Input - IIFS Liqudity'!I197*'3-Assumptions'!$B151</f>
        <v>0</v>
      </c>
      <c r="D197" s="116">
        <f>+'2-Input - IIFS Liqudity'!J197*'3-Assumptions'!$B151</f>
        <v>0</v>
      </c>
      <c r="E197" s="116">
        <f>+'2-Input - IIFS Liqudity'!K197*'3-Assumptions'!$B151</f>
        <v>0</v>
      </c>
      <c r="F197" s="116">
        <f>+'2-Input - IIFS Liqudity'!L197*'3-Assumptions'!$B151</f>
        <v>0</v>
      </c>
      <c r="G197" s="117">
        <f>+'2-Input - IIFS Liqudity'!M197*'3-Assumptions'!$B151</f>
        <v>0</v>
      </c>
    </row>
    <row r="199" spans="1:7" x14ac:dyDescent="0.2">
      <c r="B199" s="104" t="str">
        <f>+B191</f>
        <v>Total</v>
      </c>
      <c r="C199" s="151" t="str">
        <f t="shared" ref="C199:G199" si="65">+C191</f>
        <v>IIFS1</v>
      </c>
      <c r="D199" s="151" t="str">
        <f t="shared" si="65"/>
        <v>IIFS2</v>
      </c>
      <c r="E199" s="151" t="str">
        <f t="shared" si="65"/>
        <v>IIFS3</v>
      </c>
      <c r="F199" s="151" t="str">
        <f t="shared" si="65"/>
        <v>IIFS4</v>
      </c>
      <c r="G199" s="151" t="str">
        <f t="shared" si="65"/>
        <v>IIFS5</v>
      </c>
    </row>
    <row r="200" spans="1:7" x14ac:dyDescent="0.2">
      <c r="A200" s="182" t="s">
        <v>138</v>
      </c>
      <c r="B200" s="96">
        <f>SUM(C200:G200)</f>
        <v>3632993.6500000004</v>
      </c>
      <c r="C200" s="146">
        <f>SUM(C201:C208)</f>
        <v>853109.15</v>
      </c>
      <c r="D200" s="147">
        <f t="shared" ref="D200:G200" si="66">SUM(D201:D208)</f>
        <v>695012.55</v>
      </c>
      <c r="E200" s="147">
        <f t="shared" si="66"/>
        <v>716094.35</v>
      </c>
      <c r="F200" s="147">
        <f t="shared" si="66"/>
        <v>714133.15</v>
      </c>
      <c r="G200" s="148">
        <f t="shared" si="66"/>
        <v>654644.44999999995</v>
      </c>
    </row>
    <row r="201" spans="1:7" ht="51" x14ac:dyDescent="0.2">
      <c r="A201" s="108" t="s">
        <v>186</v>
      </c>
      <c r="B201" s="97">
        <f>SUM(C201:G201)</f>
        <v>0</v>
      </c>
      <c r="C201" s="109">
        <f>'2-Input - IIFS Liqudity'!I200*'3-Assumptions'!$I147</f>
        <v>0</v>
      </c>
      <c r="D201" s="110">
        <f>'2-Input - IIFS Liqudity'!J200*'3-Assumptions'!$I147</f>
        <v>0</v>
      </c>
      <c r="E201" s="110">
        <f>'2-Input - IIFS Liqudity'!K200*'3-Assumptions'!$I147</f>
        <v>0</v>
      </c>
      <c r="F201" s="110">
        <f>'2-Input - IIFS Liqudity'!L200*'3-Assumptions'!$I147</f>
        <v>0</v>
      </c>
      <c r="G201" s="111">
        <f>'2-Input - IIFS Liqudity'!M200*'3-Assumptions'!$I147</f>
        <v>0</v>
      </c>
    </row>
    <row r="202" spans="1:7" ht="25.5" x14ac:dyDescent="0.2">
      <c r="A202" s="108" t="s">
        <v>187</v>
      </c>
      <c r="B202" s="98">
        <f t="shared" ref="B202:B205" si="67">SUM(C202:G202)</f>
        <v>1197211.1000000001</v>
      </c>
      <c r="C202" s="112">
        <f>'2-Input - IIFS Liqudity'!I201*'3-Assumptions'!$I148</f>
        <v>146963.4</v>
      </c>
      <c r="D202" s="113">
        <f>'2-Input - IIFS Liqudity'!J201*'3-Assumptions'!$I148</f>
        <v>294844.55</v>
      </c>
      <c r="E202" s="113">
        <f>'2-Input - IIFS Liqudity'!K201*'3-Assumptions'!$I148</f>
        <v>218064.90000000002</v>
      </c>
      <c r="F202" s="113">
        <f>'2-Input - IIFS Liqudity'!L201*'3-Assumptions'!$I148</f>
        <v>231328.45</v>
      </c>
      <c r="G202" s="114">
        <f>'2-Input - IIFS Liqudity'!M201*'3-Assumptions'!$I148</f>
        <v>306009.8</v>
      </c>
    </row>
    <row r="203" spans="1:7" ht="38.25" x14ac:dyDescent="0.2">
      <c r="A203" s="108" t="s">
        <v>7</v>
      </c>
      <c r="B203" s="98">
        <f t="shared" si="67"/>
        <v>695937.80000000016</v>
      </c>
      <c r="C203" s="112">
        <f>'2-Input - IIFS Liqudity'!I202*'3-Assumptions'!$I149</f>
        <v>201755.90000000002</v>
      </c>
      <c r="D203" s="113">
        <f>'2-Input - IIFS Liqudity'!J202*'3-Assumptions'!$I149</f>
        <v>114333.70000000001</v>
      </c>
      <c r="E203" s="113">
        <f>'2-Input - IIFS Liqudity'!K202*'3-Assumptions'!$I149</f>
        <v>142294.1</v>
      </c>
      <c r="F203" s="113">
        <f>'2-Input - IIFS Liqudity'!L202*'3-Assumptions'!$I149</f>
        <v>137944.20000000001</v>
      </c>
      <c r="G203" s="114">
        <f>'2-Input - IIFS Liqudity'!M202*'3-Assumptions'!$I149</f>
        <v>99609.900000000009</v>
      </c>
    </row>
    <row r="204" spans="1:7" ht="38.25" x14ac:dyDescent="0.2">
      <c r="A204" s="108" t="s">
        <v>188</v>
      </c>
      <c r="B204" s="98">
        <f t="shared" si="67"/>
        <v>1739844.75</v>
      </c>
      <c r="C204" s="112">
        <f>'2-Input - IIFS Liqudity'!I203*'3-Assumptions'!$I150</f>
        <v>504389.85</v>
      </c>
      <c r="D204" s="113">
        <f>'2-Input - IIFS Liqudity'!J203*'3-Assumptions'!$I150</f>
        <v>285834.3</v>
      </c>
      <c r="E204" s="113">
        <f>'2-Input - IIFS Liqudity'!K203*'3-Assumptions'!$I150</f>
        <v>355735.35</v>
      </c>
      <c r="F204" s="113">
        <f>'2-Input - IIFS Liqudity'!L203*'3-Assumptions'!$I150</f>
        <v>344860.5</v>
      </c>
      <c r="G204" s="114">
        <f>'2-Input - IIFS Liqudity'!M203*'3-Assumptions'!$I150</f>
        <v>249024.75</v>
      </c>
    </row>
    <row r="205" spans="1:7" ht="114.75" x14ac:dyDescent="0.2">
      <c r="A205" s="108" t="s">
        <v>271</v>
      </c>
      <c r="B205" s="98">
        <f t="shared" si="67"/>
        <v>0</v>
      </c>
      <c r="C205" s="112">
        <f>'2-Input - IIFS Liqudity'!I204*'3-Assumptions'!$I151</f>
        <v>0</v>
      </c>
      <c r="D205" s="113">
        <f>'2-Input - IIFS Liqudity'!J204*'3-Assumptions'!$I151</f>
        <v>0</v>
      </c>
      <c r="E205" s="113">
        <f>'2-Input - IIFS Liqudity'!K204*'3-Assumptions'!$I151</f>
        <v>0</v>
      </c>
      <c r="F205" s="113">
        <f>'2-Input - IIFS Liqudity'!L204*'3-Assumptions'!$I151</f>
        <v>0</v>
      </c>
      <c r="G205" s="114">
        <f>'2-Input - IIFS Liqudity'!M204*'3-Assumptions'!$I151</f>
        <v>0</v>
      </c>
    </row>
    <row r="206" spans="1:7" ht="89.25" x14ac:dyDescent="0.2">
      <c r="A206" s="108" t="s">
        <v>189</v>
      </c>
      <c r="B206" s="98">
        <f t="shared" ref="B206:B208" si="68">SUM(C206:G206)</f>
        <v>0</v>
      </c>
      <c r="C206" s="112">
        <f>'2-Input - IIFS Liqudity'!I205*'3-Assumptions'!$I152</f>
        <v>0</v>
      </c>
      <c r="D206" s="113">
        <f>'2-Input - IIFS Liqudity'!J205*'3-Assumptions'!$I152</f>
        <v>0</v>
      </c>
      <c r="E206" s="113">
        <f>'2-Input - IIFS Liqudity'!K205*'3-Assumptions'!$I152</f>
        <v>0</v>
      </c>
      <c r="F206" s="113">
        <f>'2-Input - IIFS Liqudity'!L205*'3-Assumptions'!$I152</f>
        <v>0</v>
      </c>
      <c r="G206" s="114">
        <f>'2-Input - IIFS Liqudity'!M205*'3-Assumptions'!$I152</f>
        <v>0</v>
      </c>
    </row>
    <row r="207" spans="1:7" ht="114.75" x14ac:dyDescent="0.2">
      <c r="A207" s="108" t="s">
        <v>344</v>
      </c>
      <c r="B207" s="98">
        <f t="shared" si="68"/>
        <v>0</v>
      </c>
      <c r="C207" s="112">
        <f>'2-Input - IIFS Liqudity'!I206*'3-Assumptions'!$I153</f>
        <v>0</v>
      </c>
      <c r="D207" s="113">
        <f>'2-Input - IIFS Liqudity'!J206*'3-Assumptions'!$I153</f>
        <v>0</v>
      </c>
      <c r="E207" s="113">
        <f>'2-Input - IIFS Liqudity'!K206*'3-Assumptions'!$I153</f>
        <v>0</v>
      </c>
      <c r="F207" s="113">
        <f>'2-Input - IIFS Liqudity'!L206*'3-Assumptions'!$I153</f>
        <v>0</v>
      </c>
      <c r="G207" s="114">
        <f>'2-Input - IIFS Liqudity'!M206*'3-Assumptions'!$I153</f>
        <v>0</v>
      </c>
    </row>
    <row r="208" spans="1:7" ht="76.5" x14ac:dyDescent="0.2">
      <c r="A208" s="108" t="s">
        <v>190</v>
      </c>
      <c r="B208" s="99">
        <f t="shared" si="68"/>
        <v>0</v>
      </c>
      <c r="C208" s="115">
        <f>'2-Input - IIFS Liqudity'!I207*'3-Assumptions'!$I154</f>
        <v>0</v>
      </c>
      <c r="D208" s="116">
        <f>'2-Input - IIFS Liqudity'!J207*'3-Assumptions'!$I154</f>
        <v>0</v>
      </c>
      <c r="E208" s="116">
        <f>'2-Input - IIFS Liqudity'!K207*'3-Assumptions'!$I154</f>
        <v>0</v>
      </c>
      <c r="F208" s="116">
        <f>'2-Input - IIFS Liqudity'!L207*'3-Assumptions'!$I154</f>
        <v>0</v>
      </c>
      <c r="G208" s="117">
        <f>'2-Input - IIFS Liqudity'!M207*'3-Assumptions'!$I154</f>
        <v>0</v>
      </c>
    </row>
    <row r="211" spans="1:7" s="520" customFormat="1" ht="15" x14ac:dyDescent="0.25">
      <c r="A211" s="562" t="s">
        <v>370</v>
      </c>
      <c r="B211" s="563"/>
      <c r="C211" s="563"/>
      <c r="D211" s="563"/>
      <c r="E211" s="563"/>
      <c r="F211" s="563"/>
      <c r="G211" s="563"/>
    </row>
    <row r="212" spans="1:7" s="17" customFormat="1" ht="15" x14ac:dyDescent="0.25">
      <c r="A212" s="326"/>
      <c r="B212" s="564"/>
      <c r="C212" s="564"/>
      <c r="D212" s="204"/>
      <c r="E212" s="204"/>
      <c r="F212" s="204"/>
      <c r="G212" s="204"/>
    </row>
    <row r="213" spans="1:7" s="17" customFormat="1" x14ac:dyDescent="0.2">
      <c r="A213" s="565"/>
      <c r="B213" s="565" t="s">
        <v>8</v>
      </c>
      <c r="C213" s="151" t="str">
        <f>+C191</f>
        <v>IIFS1</v>
      </c>
      <c r="D213" s="151" t="str">
        <f t="shared" ref="D213:G213" si="69">+D191</f>
        <v>IIFS2</v>
      </c>
      <c r="E213" s="151" t="str">
        <f t="shared" si="69"/>
        <v>IIFS3</v>
      </c>
      <c r="F213" s="151" t="str">
        <f t="shared" si="69"/>
        <v>IIFS4</v>
      </c>
      <c r="G213" s="151" t="str">
        <f t="shared" si="69"/>
        <v>IIFS5</v>
      </c>
    </row>
    <row r="214" spans="1:7" s="17" customFormat="1" x14ac:dyDescent="0.2">
      <c r="A214" s="566" t="s">
        <v>371</v>
      </c>
      <c r="B214" s="567"/>
      <c r="C214" s="568"/>
      <c r="D214" s="569"/>
      <c r="E214" s="569"/>
      <c r="F214" s="569"/>
      <c r="G214" s="569"/>
    </row>
    <row r="215" spans="1:7" s="17" customFormat="1" x14ac:dyDescent="0.2">
      <c r="A215" s="386" t="str">
        <f>+'2-Input - IIFS Liqudity'!D213</f>
        <v>Less than 3 months</v>
      </c>
      <c r="B215" s="570">
        <f t="shared" ref="B215:B224" si="70">SUM(C215:G215)</f>
        <v>26168206</v>
      </c>
      <c r="C215" s="571">
        <v>3229482</v>
      </c>
      <c r="D215" s="571">
        <v>5880432</v>
      </c>
      <c r="E215" s="571">
        <v>4934396</v>
      </c>
      <c r="F215" s="571">
        <v>8095777</v>
      </c>
      <c r="G215" s="571">
        <v>4028119</v>
      </c>
    </row>
    <row r="216" spans="1:7" s="17" customFormat="1" x14ac:dyDescent="0.2">
      <c r="A216" s="386" t="str">
        <f>+'2-Input - IIFS Liqudity'!D214</f>
        <v>3 to 12 months</v>
      </c>
      <c r="B216" s="572">
        <f t="shared" si="70"/>
        <v>-1218822</v>
      </c>
      <c r="C216" s="573">
        <v>-1666628</v>
      </c>
      <c r="D216" s="573">
        <v>629853</v>
      </c>
      <c r="E216" s="573">
        <v>804301</v>
      </c>
      <c r="F216" s="573">
        <v>-1103983</v>
      </c>
      <c r="G216" s="573">
        <v>117635</v>
      </c>
    </row>
    <row r="217" spans="1:7" s="17" customFormat="1" x14ac:dyDescent="0.2">
      <c r="A217" s="386" t="str">
        <f>+'2-Input - IIFS Liqudity'!D215</f>
        <v>1 to 5 years</v>
      </c>
      <c r="B217" s="572">
        <f t="shared" si="70"/>
        <v>-10073386</v>
      </c>
      <c r="C217" s="573">
        <v>-3020006</v>
      </c>
      <c r="D217" s="573">
        <v>-2711438</v>
      </c>
      <c r="E217" s="573">
        <v>-1883889</v>
      </c>
      <c r="F217" s="573">
        <v>541169</v>
      </c>
      <c r="G217" s="573">
        <v>-2999222</v>
      </c>
    </row>
    <row r="218" spans="1:7" s="17" customFormat="1" x14ac:dyDescent="0.2">
      <c r="A218" s="398" t="str">
        <f>+'2-Input - IIFS Liqudity'!D216</f>
        <v>More than 5 years</v>
      </c>
      <c r="B218" s="574">
        <f t="shared" si="70"/>
        <v>-23165245</v>
      </c>
      <c r="C218" s="575">
        <v>-2746087</v>
      </c>
      <c r="D218" s="575">
        <v>-5554763</v>
      </c>
      <c r="E218" s="575">
        <v>-5457491</v>
      </c>
      <c r="F218" s="575">
        <v>-4191355</v>
      </c>
      <c r="G218" s="575">
        <v>-5215549</v>
      </c>
    </row>
    <row r="219" spans="1:7" s="17" customFormat="1" hidden="1" x14ac:dyDescent="0.2">
      <c r="A219" s="386"/>
      <c r="B219" s="572">
        <f t="shared" si="70"/>
        <v>0</v>
      </c>
      <c r="C219" s="573"/>
      <c r="D219" s="573"/>
      <c r="E219" s="573"/>
      <c r="F219" s="573"/>
      <c r="G219" s="573"/>
    </row>
    <row r="220" spans="1:7" s="17" customFormat="1" hidden="1" x14ac:dyDescent="0.2">
      <c r="A220" s="386"/>
      <c r="B220" s="572">
        <f t="shared" si="70"/>
        <v>0</v>
      </c>
      <c r="C220" s="573"/>
      <c r="D220" s="573"/>
      <c r="E220" s="573"/>
      <c r="F220" s="573"/>
      <c r="G220" s="573"/>
    </row>
    <row r="221" spans="1:7" s="17" customFormat="1" hidden="1" x14ac:dyDescent="0.2">
      <c r="A221" s="386"/>
      <c r="B221" s="572">
        <f t="shared" si="70"/>
        <v>0</v>
      </c>
      <c r="C221" s="573"/>
      <c r="D221" s="573"/>
      <c r="E221" s="573"/>
      <c r="F221" s="573"/>
      <c r="G221" s="573"/>
    </row>
    <row r="222" spans="1:7" s="17" customFormat="1" hidden="1" x14ac:dyDescent="0.2">
      <c r="A222" s="386"/>
      <c r="B222" s="572">
        <f t="shared" si="70"/>
        <v>0</v>
      </c>
      <c r="C222" s="573"/>
      <c r="D222" s="573"/>
      <c r="E222" s="573"/>
      <c r="F222" s="573"/>
      <c r="G222" s="573"/>
    </row>
    <row r="223" spans="1:7" s="17" customFormat="1" hidden="1" x14ac:dyDescent="0.2">
      <c r="A223" s="386"/>
      <c r="B223" s="572">
        <f t="shared" si="70"/>
        <v>0</v>
      </c>
      <c r="C223" s="573"/>
      <c r="D223" s="573"/>
      <c r="E223" s="573"/>
      <c r="F223" s="573"/>
      <c r="G223" s="573"/>
    </row>
    <row r="224" spans="1:7" s="17" customFormat="1" hidden="1" x14ac:dyDescent="0.2">
      <c r="A224" s="398"/>
      <c r="B224" s="574">
        <f t="shared" si="70"/>
        <v>0</v>
      </c>
      <c r="C224" s="575"/>
      <c r="D224" s="575"/>
      <c r="E224" s="575"/>
      <c r="F224" s="575"/>
      <c r="G224" s="575"/>
    </row>
    <row r="225" spans="1:26" s="17" customFormat="1" x14ac:dyDescent="0.2">
      <c r="A225" s="576"/>
      <c r="B225" s="291"/>
      <c r="C225" s="577"/>
      <c r="D225" s="577"/>
      <c r="E225" s="577"/>
      <c r="F225" s="577"/>
      <c r="G225" s="577"/>
    </row>
    <row r="226" spans="1:26" s="17" customFormat="1" x14ac:dyDescent="0.2">
      <c r="A226" s="578" t="s">
        <v>403</v>
      </c>
      <c r="B226" s="579">
        <f>SUM(C226:G226)</f>
        <v>0</v>
      </c>
      <c r="C226" s="580">
        <v>0</v>
      </c>
      <c r="D226" s="580">
        <v>0</v>
      </c>
      <c r="E226" s="580">
        <v>0</v>
      </c>
      <c r="F226" s="580">
        <v>0</v>
      </c>
      <c r="G226" s="580">
        <v>0</v>
      </c>
    </row>
    <row r="227" spans="1:26" s="17" customFormat="1" x14ac:dyDescent="0.2">
      <c r="A227" s="581" t="s">
        <v>372</v>
      </c>
      <c r="B227" s="582"/>
      <c r="C227" s="582"/>
      <c r="D227" s="582"/>
      <c r="E227" s="582"/>
      <c r="F227" s="582"/>
      <c r="G227" s="582"/>
    </row>
    <row r="228" spans="1:26" s="17" customFormat="1" x14ac:dyDescent="0.2">
      <c r="A228" s="397" t="str">
        <f>A215</f>
        <v>Less than 3 months</v>
      </c>
      <c r="B228" s="570">
        <f t="shared" ref="B228:B237" si="71">SUM(C228:G228)</f>
        <v>0</v>
      </c>
      <c r="C228" s="583">
        <f>IF(C215&lt;0,1,0)</f>
        <v>0</v>
      </c>
      <c r="D228" s="583">
        <f t="shared" ref="D228:G228" si="72">IF(D215&lt;0,1,0)</f>
        <v>0</v>
      </c>
      <c r="E228" s="583">
        <f t="shared" si="72"/>
        <v>0</v>
      </c>
      <c r="F228" s="583">
        <f t="shared" si="72"/>
        <v>0</v>
      </c>
      <c r="G228" s="583">
        <f t="shared" si="72"/>
        <v>0</v>
      </c>
    </row>
    <row r="229" spans="1:26" s="17" customFormat="1" x14ac:dyDescent="0.2">
      <c r="A229" s="386" t="str">
        <f t="shared" ref="A229:A231" si="73">A216</f>
        <v>3 to 12 months</v>
      </c>
      <c r="B229" s="572">
        <f>SUM(C229:G229)</f>
        <v>2</v>
      </c>
      <c r="C229" s="584">
        <f>IF(OR(C215&lt;0,C216&lt;0),1,0)</f>
        <v>1</v>
      </c>
      <c r="D229" s="584">
        <f t="shared" ref="D229:G229" si="74">IF(OR(D215&lt;0,D216&lt;0),1,0)</f>
        <v>0</v>
      </c>
      <c r="E229" s="584">
        <f t="shared" si="74"/>
        <v>0</v>
      </c>
      <c r="F229" s="584">
        <f t="shared" si="74"/>
        <v>1</v>
      </c>
      <c r="G229" s="584">
        <f t="shared" si="74"/>
        <v>0</v>
      </c>
    </row>
    <row r="230" spans="1:26" s="17" customFormat="1" x14ac:dyDescent="0.2">
      <c r="A230" s="386" t="str">
        <f t="shared" si="73"/>
        <v>1 to 5 years</v>
      </c>
      <c r="B230" s="572">
        <f t="shared" si="71"/>
        <v>5</v>
      </c>
      <c r="C230" s="584">
        <f>IF(OR(C215&lt;0,C216&lt;0,C217&lt;0),1,0)</f>
        <v>1</v>
      </c>
      <c r="D230" s="584">
        <f t="shared" ref="D230:G230" si="75">IF(OR(D215&lt;0,D216&lt;0,D217&lt;0),1,0)</f>
        <v>1</v>
      </c>
      <c r="E230" s="584">
        <f t="shared" si="75"/>
        <v>1</v>
      </c>
      <c r="F230" s="584">
        <f t="shared" si="75"/>
        <v>1</v>
      </c>
      <c r="G230" s="584">
        <f t="shared" si="75"/>
        <v>1</v>
      </c>
    </row>
    <row r="231" spans="1:26" s="17" customFormat="1" x14ac:dyDescent="0.2">
      <c r="A231" s="398" t="str">
        <f t="shared" si="73"/>
        <v>More than 5 years</v>
      </c>
      <c r="B231" s="574">
        <f t="shared" si="71"/>
        <v>5</v>
      </c>
      <c r="C231" s="585">
        <f>IF(OR(C215&lt;0,C216&lt;0,C217&lt;0,C218&lt;0),1,0)</f>
        <v>1</v>
      </c>
      <c r="D231" s="585">
        <f t="shared" ref="D231:G231" si="76">IF(OR(D215&lt;0,D216&lt;0,D217&lt;0,D218&lt;0),1,0)</f>
        <v>1</v>
      </c>
      <c r="E231" s="585">
        <f t="shared" si="76"/>
        <v>1</v>
      </c>
      <c r="F231" s="585">
        <f t="shared" si="76"/>
        <v>1</v>
      </c>
      <c r="G231" s="585">
        <f t="shared" si="76"/>
        <v>1</v>
      </c>
    </row>
    <row r="232" spans="1:26" s="17" customFormat="1" hidden="1" x14ac:dyDescent="0.2">
      <c r="A232" s="386"/>
      <c r="B232" s="572">
        <f t="shared" si="71"/>
        <v>5</v>
      </c>
      <c r="C232" s="584">
        <f>IF(OR(C215&lt;0,C216&lt;0,C217&lt;0,C218&lt;0,C219&lt;0),1,0)</f>
        <v>1</v>
      </c>
      <c r="D232" s="584">
        <f t="shared" ref="D232:G232" si="77">IF(OR(D215&lt;0,D216&lt;0,D217&lt;0,D218&lt;0,D219&lt;0),1,0)</f>
        <v>1</v>
      </c>
      <c r="E232" s="584">
        <f t="shared" si="77"/>
        <v>1</v>
      </c>
      <c r="F232" s="584">
        <f t="shared" si="77"/>
        <v>1</v>
      </c>
      <c r="G232" s="584">
        <f t="shared" si="77"/>
        <v>1</v>
      </c>
    </row>
    <row r="233" spans="1:26" s="17" customFormat="1" hidden="1" x14ac:dyDescent="0.2">
      <c r="A233" s="386"/>
      <c r="B233" s="572">
        <f t="shared" si="71"/>
        <v>0</v>
      </c>
      <c r="C233" s="584"/>
      <c r="D233" s="584"/>
      <c r="E233" s="584"/>
      <c r="F233" s="584"/>
      <c r="G233" s="584"/>
    </row>
    <row r="234" spans="1:26" s="17" customFormat="1" hidden="1" x14ac:dyDescent="0.2">
      <c r="A234" s="386"/>
      <c r="B234" s="572">
        <f t="shared" si="71"/>
        <v>0</v>
      </c>
      <c r="C234" s="584"/>
      <c r="D234" s="584"/>
      <c r="E234" s="584"/>
      <c r="F234" s="584"/>
      <c r="G234" s="584"/>
    </row>
    <row r="235" spans="1:26" s="17" customFormat="1" hidden="1" x14ac:dyDescent="0.2">
      <c r="A235" s="386"/>
      <c r="B235" s="572">
        <f t="shared" si="71"/>
        <v>0</v>
      </c>
      <c r="C235" s="584"/>
      <c r="D235" s="584"/>
      <c r="E235" s="584"/>
      <c r="F235" s="584"/>
      <c r="G235" s="584"/>
    </row>
    <row r="236" spans="1:26" s="17" customFormat="1" hidden="1" x14ac:dyDescent="0.2">
      <c r="A236" s="386"/>
      <c r="B236" s="572">
        <f t="shared" si="71"/>
        <v>0</v>
      </c>
      <c r="C236" s="584"/>
      <c r="D236" s="584"/>
      <c r="E236" s="584"/>
      <c r="F236" s="584"/>
      <c r="G236" s="584"/>
    </row>
    <row r="237" spans="1:26" s="17" customFormat="1" hidden="1" x14ac:dyDescent="0.2">
      <c r="A237" s="398"/>
      <c r="B237" s="574">
        <f t="shared" si="71"/>
        <v>0</v>
      </c>
      <c r="C237" s="585"/>
      <c r="D237" s="585"/>
      <c r="E237" s="585"/>
      <c r="F237" s="585"/>
      <c r="G237" s="585"/>
    </row>
    <row r="238" spans="1:26" x14ac:dyDescent="0.2">
      <c r="H238" s="72"/>
      <c r="I238" s="72"/>
      <c r="J238" s="72"/>
      <c r="K238" s="72"/>
      <c r="L238" s="72"/>
      <c r="M238" s="72"/>
      <c r="N238" s="72"/>
      <c r="O238" s="72"/>
      <c r="P238" s="72"/>
      <c r="Q238" s="72"/>
      <c r="R238" s="72"/>
      <c r="S238" s="72"/>
      <c r="T238" s="72"/>
      <c r="U238" s="72"/>
      <c r="V238" s="72"/>
      <c r="W238" s="72"/>
      <c r="X238" s="72"/>
      <c r="Y238" s="72"/>
      <c r="Z238" s="72"/>
    </row>
    <row r="239" spans="1:26" x14ac:dyDescent="0.2">
      <c r="H239" s="72"/>
      <c r="I239" s="72"/>
      <c r="J239" s="72"/>
      <c r="K239" s="72"/>
      <c r="L239" s="72"/>
      <c r="M239" s="72"/>
      <c r="N239" s="72"/>
      <c r="O239" s="72"/>
      <c r="P239" s="72"/>
      <c r="Q239" s="72"/>
      <c r="R239" s="72"/>
      <c r="S239" s="72"/>
      <c r="T239" s="72"/>
      <c r="U239" s="72"/>
      <c r="V239" s="72"/>
      <c r="W239" s="72"/>
      <c r="X239" s="72"/>
      <c r="Y239" s="72"/>
      <c r="Z239" s="72"/>
    </row>
    <row r="240" spans="1:26" x14ac:dyDescent="0.2">
      <c r="H240" s="72"/>
      <c r="I240" s="72"/>
      <c r="J240" s="72"/>
      <c r="K240" s="72"/>
      <c r="L240" s="72"/>
      <c r="M240" s="72"/>
      <c r="N240" s="72"/>
      <c r="O240" s="72"/>
      <c r="P240" s="72"/>
      <c r="Q240" s="72"/>
      <c r="R240" s="72"/>
      <c r="S240" s="72"/>
      <c r="T240" s="72"/>
      <c r="U240" s="72"/>
      <c r="V240" s="72"/>
      <c r="W240" s="72"/>
      <c r="X240" s="72"/>
      <c r="Y240" s="72"/>
      <c r="Z240" s="72"/>
    </row>
    <row r="241" spans="8:26" x14ac:dyDescent="0.2">
      <c r="H241" s="72"/>
      <c r="I241" s="72"/>
      <c r="J241" s="72"/>
      <c r="K241" s="72"/>
      <c r="L241" s="72"/>
      <c r="M241" s="72"/>
      <c r="N241" s="72"/>
      <c r="O241" s="72"/>
      <c r="P241" s="72"/>
      <c r="Q241" s="72"/>
      <c r="R241" s="72"/>
      <c r="S241" s="72"/>
      <c r="T241" s="72"/>
      <c r="U241" s="72"/>
      <c r="V241" s="72"/>
      <c r="W241" s="72"/>
      <c r="X241" s="72"/>
      <c r="Y241" s="72"/>
      <c r="Z241" s="72"/>
    </row>
    <row r="242" spans="8:26" x14ac:dyDescent="0.2">
      <c r="H242" s="72"/>
      <c r="I242" s="72"/>
      <c r="J242" s="72"/>
      <c r="K242" s="72"/>
      <c r="L242" s="72"/>
      <c r="M242" s="72"/>
      <c r="N242" s="72"/>
      <c r="O242" s="72"/>
      <c r="P242" s="72"/>
      <c r="Q242" s="72"/>
      <c r="R242" s="72"/>
      <c r="S242" s="72"/>
      <c r="T242" s="72"/>
      <c r="U242" s="72"/>
      <c r="V242" s="72"/>
      <c r="W242" s="72"/>
      <c r="X242" s="72"/>
      <c r="Y242" s="72"/>
      <c r="Z242" s="72"/>
    </row>
    <row r="243" spans="8:26" x14ac:dyDescent="0.2">
      <c r="H243" s="72"/>
      <c r="I243" s="72"/>
      <c r="J243" s="72"/>
      <c r="K243" s="72"/>
      <c r="L243" s="72"/>
      <c r="M243" s="72"/>
      <c r="N243" s="72"/>
      <c r="O243" s="72"/>
      <c r="P243" s="72"/>
      <c r="Q243" s="72"/>
      <c r="R243" s="72"/>
      <c r="S243" s="72"/>
      <c r="T243" s="72"/>
      <c r="U243" s="72"/>
      <c r="V243" s="72"/>
      <c r="W243" s="72"/>
      <c r="X243" s="72"/>
      <c r="Y243" s="72"/>
      <c r="Z243" s="72"/>
    </row>
    <row r="244" spans="8:26" x14ac:dyDescent="0.2">
      <c r="H244" s="72"/>
      <c r="I244" s="72"/>
      <c r="J244" s="72"/>
      <c r="K244" s="72"/>
      <c r="L244" s="72"/>
      <c r="M244" s="72"/>
      <c r="N244" s="72"/>
      <c r="O244" s="72"/>
      <c r="P244" s="72"/>
      <c r="Q244" s="72"/>
      <c r="R244" s="72"/>
      <c r="S244" s="72"/>
      <c r="T244" s="72"/>
      <c r="U244" s="72"/>
      <c r="V244" s="72"/>
      <c r="W244" s="72"/>
      <c r="X244" s="72"/>
      <c r="Y244" s="72"/>
      <c r="Z244" s="72"/>
    </row>
    <row r="245" spans="8:26" x14ac:dyDescent="0.2">
      <c r="H245" s="72"/>
      <c r="I245" s="72"/>
      <c r="J245" s="72"/>
      <c r="K245" s="72"/>
      <c r="L245" s="72"/>
      <c r="M245" s="72"/>
      <c r="N245" s="72"/>
      <c r="O245" s="72"/>
      <c r="P245" s="72"/>
      <c r="Q245" s="72"/>
      <c r="R245" s="72"/>
      <c r="S245" s="72"/>
      <c r="T245" s="72"/>
      <c r="U245" s="72"/>
      <c r="V245" s="72"/>
      <c r="W245" s="72"/>
      <c r="X245" s="72"/>
      <c r="Y245" s="72"/>
      <c r="Z245" s="72"/>
    </row>
    <row r="246" spans="8:26" x14ac:dyDescent="0.2">
      <c r="H246" s="72"/>
      <c r="I246" s="72"/>
      <c r="J246" s="72"/>
      <c r="K246" s="72"/>
      <c r="L246" s="72"/>
      <c r="M246" s="72"/>
      <c r="N246" s="72"/>
      <c r="O246" s="72"/>
      <c r="P246" s="72"/>
      <c r="Q246" s="72"/>
      <c r="R246" s="72"/>
      <c r="S246" s="72"/>
      <c r="T246" s="72"/>
      <c r="U246" s="72"/>
      <c r="V246" s="72"/>
      <c r="W246" s="72"/>
      <c r="X246" s="72"/>
      <c r="Y246" s="72"/>
      <c r="Z246" s="72"/>
    </row>
    <row r="247" spans="8:26" x14ac:dyDescent="0.2">
      <c r="H247" s="72"/>
      <c r="I247" s="72"/>
      <c r="J247" s="72"/>
      <c r="K247" s="72"/>
      <c r="L247" s="72"/>
      <c r="M247" s="72"/>
      <c r="N247" s="72"/>
      <c r="O247" s="72"/>
      <c r="P247" s="72"/>
      <c r="Q247" s="72"/>
      <c r="R247" s="72"/>
      <c r="S247" s="72"/>
      <c r="T247" s="72"/>
      <c r="U247" s="72"/>
      <c r="V247" s="72"/>
      <c r="W247" s="72"/>
      <c r="X247" s="72"/>
      <c r="Y247" s="72"/>
      <c r="Z247" s="72"/>
    </row>
    <row r="248" spans="8:26" x14ac:dyDescent="0.2">
      <c r="H248" s="72"/>
      <c r="I248" s="72"/>
      <c r="J248" s="72"/>
      <c r="K248" s="72"/>
      <c r="L248" s="72"/>
      <c r="M248" s="72"/>
      <c r="N248" s="72"/>
      <c r="O248" s="72"/>
      <c r="P248" s="72"/>
      <c r="Q248" s="72"/>
      <c r="R248" s="72"/>
      <c r="S248" s="72"/>
      <c r="T248" s="72"/>
      <c r="U248" s="72"/>
      <c r="V248" s="72"/>
      <c r="W248" s="72"/>
      <c r="X248" s="72"/>
      <c r="Y248" s="72"/>
      <c r="Z248" s="72"/>
    </row>
    <row r="249" spans="8:26" x14ac:dyDescent="0.2">
      <c r="H249" s="72"/>
      <c r="I249" s="72"/>
      <c r="J249" s="72"/>
      <c r="K249" s="72"/>
      <c r="L249" s="72"/>
      <c r="M249" s="72"/>
      <c r="N249" s="72"/>
      <c r="O249" s="72"/>
      <c r="P249" s="72"/>
      <c r="Q249" s="72"/>
      <c r="R249" s="72"/>
      <c r="S249" s="72"/>
      <c r="T249" s="72"/>
      <c r="U249" s="72"/>
      <c r="V249" s="72"/>
      <c r="W249" s="72"/>
      <c r="X249" s="72"/>
      <c r="Y249" s="72"/>
      <c r="Z249" s="72"/>
    </row>
    <row r="250" spans="8:26" x14ac:dyDescent="0.2">
      <c r="H250" s="72"/>
      <c r="I250" s="72"/>
      <c r="J250" s="72"/>
      <c r="K250" s="72"/>
      <c r="L250" s="72"/>
      <c r="M250" s="72"/>
      <c r="N250" s="72"/>
      <c r="O250" s="72"/>
      <c r="P250" s="72"/>
      <c r="Q250" s="72"/>
      <c r="R250" s="72"/>
      <c r="S250" s="72"/>
      <c r="T250" s="72"/>
      <c r="U250" s="72"/>
      <c r="V250" s="72"/>
      <c r="W250" s="72"/>
      <c r="X250" s="72"/>
      <c r="Y250" s="72"/>
      <c r="Z250" s="72"/>
    </row>
    <row r="251" spans="8:26" x14ac:dyDescent="0.2">
      <c r="H251" s="72"/>
      <c r="I251" s="72"/>
      <c r="J251" s="72"/>
      <c r="K251" s="72"/>
      <c r="L251" s="72"/>
      <c r="M251" s="72"/>
      <c r="N251" s="72"/>
      <c r="O251" s="72"/>
      <c r="P251" s="72"/>
      <c r="Q251" s="72"/>
      <c r="R251" s="72"/>
      <c r="S251" s="72"/>
      <c r="T251" s="72"/>
      <c r="U251" s="72"/>
      <c r="V251" s="72"/>
      <c r="W251" s="72"/>
      <c r="X251" s="72"/>
      <c r="Y251" s="72"/>
      <c r="Z251" s="72"/>
    </row>
    <row r="252" spans="8:26" x14ac:dyDescent="0.2">
      <c r="H252" s="72"/>
      <c r="I252" s="72"/>
      <c r="J252" s="72"/>
      <c r="K252" s="72"/>
      <c r="L252" s="72"/>
      <c r="M252" s="72"/>
      <c r="N252" s="72"/>
      <c r="O252" s="72"/>
      <c r="P252" s="72"/>
      <c r="Q252" s="72"/>
      <c r="R252" s="72"/>
      <c r="S252" s="72"/>
      <c r="T252" s="72"/>
      <c r="U252" s="72"/>
      <c r="V252" s="72"/>
      <c r="W252" s="72"/>
      <c r="X252" s="72"/>
      <c r="Y252" s="72"/>
      <c r="Z252" s="72"/>
    </row>
    <row r="253" spans="8:26" x14ac:dyDescent="0.2">
      <c r="H253" s="72"/>
      <c r="I253" s="72"/>
      <c r="J253" s="72"/>
      <c r="K253" s="72"/>
      <c r="L253" s="72"/>
      <c r="M253" s="72"/>
      <c r="N253" s="72"/>
      <c r="O253" s="72"/>
      <c r="P253" s="72"/>
      <c r="Q253" s="72"/>
      <c r="R253" s="72"/>
      <c r="S253" s="72"/>
      <c r="T253" s="72"/>
      <c r="U253" s="72"/>
      <c r="V253" s="72"/>
      <c r="W253" s="72"/>
      <c r="X253" s="72"/>
      <c r="Y253" s="72"/>
      <c r="Z253" s="72"/>
    </row>
    <row r="254" spans="8:26" x14ac:dyDescent="0.2">
      <c r="H254" s="72"/>
      <c r="I254" s="72"/>
      <c r="J254" s="72"/>
      <c r="K254" s="72"/>
      <c r="L254" s="72"/>
      <c r="M254" s="72"/>
      <c r="N254" s="72"/>
      <c r="O254" s="72"/>
      <c r="P254" s="72"/>
      <c r="Q254" s="72"/>
      <c r="R254" s="72"/>
      <c r="S254" s="72"/>
      <c r="T254" s="72"/>
      <c r="U254" s="72"/>
      <c r="V254" s="72"/>
      <c r="W254" s="72"/>
      <c r="X254" s="72"/>
      <c r="Y254" s="72"/>
      <c r="Z254" s="72"/>
    </row>
    <row r="255" spans="8:26" x14ac:dyDescent="0.2">
      <c r="H255" s="72"/>
      <c r="I255" s="72"/>
      <c r="J255" s="72"/>
      <c r="K255" s="72"/>
      <c r="L255" s="72"/>
      <c r="M255" s="72"/>
      <c r="N255" s="72"/>
      <c r="O255" s="72"/>
      <c r="P255" s="72"/>
      <c r="Q255" s="72"/>
      <c r="R255" s="72"/>
      <c r="S255" s="72"/>
      <c r="T255" s="72"/>
      <c r="U255" s="72"/>
      <c r="V255" s="72"/>
      <c r="W255" s="72"/>
      <c r="X255" s="72"/>
      <c r="Y255" s="72"/>
      <c r="Z255" s="72"/>
    </row>
  </sheetData>
  <mergeCells count="4">
    <mergeCell ref="A2:G2"/>
    <mergeCell ref="A4:G4"/>
    <mergeCell ref="B74:G74"/>
    <mergeCell ref="A128:G128"/>
  </mergeCells>
  <conditionalFormatting sqref="C215:G225 A228:A237 A215:A225">
    <cfRule type="cellIs" dxfId="7" priority="5" stopIfTrue="1" operator="lessThan">
      <formula>0</formula>
    </cfRule>
  </conditionalFormatting>
  <conditionalFormatting sqref="C228:G237 C226:G226">
    <cfRule type="cellIs" dxfId="6" priority="4" stopIfTrue="1" operator="equal">
      <formula>1</formula>
    </cfRule>
  </conditionalFormatting>
  <conditionalFormatting sqref="B228:B237">
    <cfRule type="cellIs" dxfId="5" priority="3" stopIfTrue="1" operator="greaterThan">
      <formula>1</formula>
    </cfRule>
  </conditionalFormatting>
  <conditionalFormatting sqref="B228:B237">
    <cfRule type="cellIs" dxfId="4" priority="1" stopIfTrue="1" operator="greaterThan">
      <formula>1</formula>
    </cfRule>
    <cfRule type="cellIs" dxfId="3" priority="2" stopIfTrue="1" operator="equal">
      <formula>1</formula>
    </cfRule>
  </conditionalFormatting>
  <dataValidations disablePrompts="1" count="2">
    <dataValidation allowBlank="1" showInputMessage="1" showErrorMessage="1" prompt="Predefined by GN-6, please change only if considered appropriate or to run sensitivity analysis_x000a_" sqref="B140"/>
    <dataValidation allowBlank="1" showInputMessage="1" showErrorMessage="1" prompt="_x000a_" sqref="B139"/>
  </dataValidations>
  <pageMargins left="0.109375" right="0.70866141732283472" top="0.74803149606299213" bottom="0.74803149606299213" header="0.31496062992125984" footer="0.31496062992125984"/>
  <pageSetup scale="70" fitToHeight="0" orientation="landscape" r:id="rId1"/>
  <headerFooter>
    <oddHeader xml:space="preserve">&amp;C© Islamic Financial Services Board 2017. 
This document is part of TN-2 (Technical Note on Stress Testing for Institutions offering Financial Services), December 2016. </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002060"/>
    <pageSetUpPr fitToPage="1"/>
  </sheetPr>
  <dimension ref="A1:BA65"/>
  <sheetViews>
    <sheetView view="pageLayout" topLeftCell="C1" zoomScale="80" zoomScaleNormal="90" zoomScalePageLayoutView="80" workbookViewId="0">
      <selection activeCell="C1" sqref="C1"/>
    </sheetView>
  </sheetViews>
  <sheetFormatPr defaultColWidth="9.140625" defaultRowHeight="12.75" x14ac:dyDescent="0.2"/>
  <cols>
    <col min="1" max="1" width="3.7109375" style="20" hidden="1" customWidth="1"/>
    <col min="2" max="2" width="3.7109375" style="11" customWidth="1"/>
    <col min="3" max="3" width="38.42578125" style="11" customWidth="1"/>
    <col min="4" max="4" width="31.5703125" style="11" customWidth="1"/>
    <col min="5" max="5" width="24.5703125" style="11" customWidth="1"/>
    <col min="6" max="6" width="26.5703125" style="11" customWidth="1"/>
    <col min="7" max="7" width="19.28515625" style="11" customWidth="1"/>
    <col min="8" max="8" width="17.42578125" style="11" customWidth="1"/>
    <col min="9" max="9" width="20.85546875" style="11" customWidth="1"/>
    <col min="10" max="10" width="14.140625" style="11" customWidth="1"/>
    <col min="11" max="11" width="21.85546875" style="11" hidden="1" customWidth="1"/>
    <col min="12" max="12" width="12.140625" style="11" hidden="1" customWidth="1"/>
    <col min="13" max="13" width="15.28515625" style="11" hidden="1" customWidth="1"/>
    <col min="14" max="18" width="9.140625" style="11" hidden="1" customWidth="1"/>
    <col min="19" max="19" width="13.42578125" style="11" hidden="1" customWidth="1"/>
    <col min="20" max="20" width="12.28515625" style="11" hidden="1" customWidth="1"/>
    <col min="21" max="53" width="9.140625" style="11" hidden="1" customWidth="1"/>
    <col min="54" max="16384" width="9.140625" style="11"/>
  </cols>
  <sheetData>
    <row r="1" spans="1:22" ht="13.5" thickBot="1" x14ac:dyDescent="0.25">
      <c r="A1" s="20">
        <v>1</v>
      </c>
      <c r="C1" s="19"/>
    </row>
    <row r="2" spans="1:22" ht="13.5" thickTop="1" x14ac:dyDescent="0.2">
      <c r="A2" s="20">
        <v>1</v>
      </c>
      <c r="C2" s="938" t="s">
        <v>369</v>
      </c>
      <c r="D2" s="939"/>
      <c r="E2" s="939"/>
      <c r="F2" s="939"/>
      <c r="G2" s="939"/>
      <c r="H2" s="939"/>
      <c r="I2" s="939"/>
      <c r="J2" s="940"/>
    </row>
    <row r="3" spans="1:22" x14ac:dyDescent="0.2">
      <c r="A3" s="20">
        <v>1</v>
      </c>
      <c r="C3" s="528"/>
      <c r="D3" s="21"/>
      <c r="E3" s="21"/>
      <c r="F3" s="21"/>
      <c r="G3" s="21"/>
      <c r="H3" s="21"/>
      <c r="I3" s="21"/>
      <c r="J3" s="529"/>
    </row>
    <row r="4" spans="1:22" x14ac:dyDescent="0.2">
      <c r="A4" s="20">
        <v>1</v>
      </c>
      <c r="C4" s="944" t="s">
        <v>196</v>
      </c>
      <c r="D4" s="945"/>
      <c r="E4" s="945"/>
      <c r="F4" s="945"/>
      <c r="G4" s="945"/>
      <c r="H4" s="945"/>
      <c r="I4" s="945"/>
      <c r="J4" s="946"/>
    </row>
    <row r="5" spans="1:22" x14ac:dyDescent="0.2">
      <c r="A5" s="20">
        <v>1</v>
      </c>
      <c r="C5" s="530"/>
      <c r="D5" s="21"/>
      <c r="E5" s="21"/>
      <c r="F5" s="21"/>
      <c r="G5" s="21"/>
      <c r="H5" s="21"/>
      <c r="I5" s="21"/>
      <c r="J5" s="529"/>
    </row>
    <row r="6" spans="1:22" x14ac:dyDescent="0.2">
      <c r="A6" s="20">
        <v>1</v>
      </c>
      <c r="C6" s="531" t="s">
        <v>197</v>
      </c>
      <c r="D6" s="22">
        <f>COUNTIF('2-Input - IIFS Liqudity'!$I$15:$M$15,"&gt;0")</f>
        <v>5</v>
      </c>
      <c r="E6" s="21"/>
      <c r="F6" s="21"/>
      <c r="G6" s="21"/>
      <c r="H6" s="21"/>
      <c r="I6" s="21"/>
      <c r="J6" s="529"/>
    </row>
    <row r="7" spans="1:22" x14ac:dyDescent="0.2">
      <c r="A7" s="20">
        <v>1</v>
      </c>
      <c r="C7" s="532"/>
      <c r="D7" s="21"/>
      <c r="E7" s="21"/>
      <c r="F7" s="21"/>
      <c r="G7" s="21"/>
      <c r="H7" s="21"/>
      <c r="I7" s="21"/>
      <c r="J7" s="529"/>
    </row>
    <row r="8" spans="1:22" ht="13.5" customHeight="1" x14ac:dyDescent="0.2">
      <c r="A8" s="20">
        <v>1</v>
      </c>
      <c r="C8" s="941" t="s">
        <v>326</v>
      </c>
      <c r="D8" s="942"/>
      <c r="E8" s="942"/>
      <c r="F8" s="942"/>
      <c r="G8" s="942"/>
      <c r="H8" s="942"/>
      <c r="I8" s="942"/>
      <c r="J8" s="943"/>
    </row>
    <row r="9" spans="1:22" ht="51" x14ac:dyDescent="0.2">
      <c r="A9" s="20">
        <v>1</v>
      </c>
      <c r="C9" s="533"/>
      <c r="D9" s="23" t="s">
        <v>362</v>
      </c>
      <c r="E9" s="24" t="s">
        <v>361</v>
      </c>
      <c r="F9" s="24" t="s">
        <v>363</v>
      </c>
      <c r="G9" s="24" t="s">
        <v>198</v>
      </c>
      <c r="H9" s="24" t="s">
        <v>199</v>
      </c>
      <c r="I9" s="24" t="s">
        <v>200</v>
      </c>
      <c r="J9" s="534" t="s">
        <v>364</v>
      </c>
      <c r="K9" s="527" t="s">
        <v>201</v>
      </c>
    </row>
    <row r="10" spans="1:22" ht="15" x14ac:dyDescent="0.25">
      <c r="A10" s="20">
        <v>1</v>
      </c>
      <c r="C10" s="535"/>
      <c r="D10" s="25">
        <v>0</v>
      </c>
      <c r="E10" s="25">
        <v>0</v>
      </c>
      <c r="F10" s="25">
        <v>0</v>
      </c>
      <c r="G10" s="25">
        <v>0</v>
      </c>
      <c r="H10" s="26">
        <v>0</v>
      </c>
      <c r="I10" s="27">
        <v>0</v>
      </c>
      <c r="J10" s="536">
        <f t="shared" ref="J10:J15" si="0">1-I10/$D$6</f>
        <v>1</v>
      </c>
      <c r="K10" s="28">
        <v>1</v>
      </c>
    </row>
    <row r="11" spans="1:22" ht="15" x14ac:dyDescent="0.25">
      <c r="A11" s="20">
        <v>1</v>
      </c>
      <c r="C11" s="537" t="s">
        <v>393</v>
      </c>
      <c r="D11" s="29">
        <f>+'5-Calculation'!B76</f>
        <v>5.353574048016236E-2</v>
      </c>
      <c r="E11" s="29">
        <f>+'5-Calculation'!B104</f>
        <v>0</v>
      </c>
      <c r="F11" s="29">
        <v>0</v>
      </c>
      <c r="G11" s="29">
        <f>+'4- ICFA &amp; LCR &amp; MMA &amp; NSFR'!B18/'2-Input - IIFS Liqudity'!G20</f>
        <v>3.7283694493197114E-2</v>
      </c>
      <c r="H11" s="30">
        <v>1</v>
      </c>
      <c r="I11" s="31">
        <f>+'4- ICFA &amp; LCR &amp; MMA &amp; NSFR'!B25</f>
        <v>0</v>
      </c>
      <c r="J11" s="538">
        <f t="shared" si="0"/>
        <v>1</v>
      </c>
      <c r="K11" s="32" t="e">
        <v>#VALUE!</v>
      </c>
    </row>
    <row r="12" spans="1:22" ht="15" x14ac:dyDescent="0.25">
      <c r="A12" s="20">
        <v>1</v>
      </c>
      <c r="C12" s="537" t="s">
        <v>394</v>
      </c>
      <c r="D12" s="29">
        <f>+SUM('5-Calculation'!B76:C76)</f>
        <v>0.1035555923250316</v>
      </c>
      <c r="E12" s="29">
        <f>+SUM('5-Calculation'!B104:C104)</f>
        <v>0</v>
      </c>
      <c r="F12" s="29">
        <v>0</v>
      </c>
      <c r="G12" s="29">
        <f>'4- ICFA &amp; LCR &amp; MMA &amp; NSFR'!B33/'2-Input - IIFS Liqudity'!G20</f>
        <v>7.3808621913690572E-2</v>
      </c>
      <c r="H12" s="33">
        <v>2</v>
      </c>
      <c r="I12" s="31">
        <f>+'4- ICFA &amp; LCR &amp; MMA &amp; NSFR'!B39</f>
        <v>0</v>
      </c>
      <c r="J12" s="538">
        <f t="shared" si="0"/>
        <v>1</v>
      </c>
      <c r="K12" s="32" t="e">
        <v>#VALUE!</v>
      </c>
    </row>
    <row r="13" spans="1:22" ht="15" x14ac:dyDescent="0.25">
      <c r="A13" s="20">
        <v>1</v>
      </c>
      <c r="C13" s="537" t="s">
        <v>395</v>
      </c>
      <c r="D13" s="29">
        <f>+SUM('5-Calculation'!B76:D76)</f>
        <v>0.15032938837812762</v>
      </c>
      <c r="E13" s="29">
        <f>+SUM('5-Calculation'!B104:D104)</f>
        <v>0</v>
      </c>
      <c r="F13" s="29">
        <v>0</v>
      </c>
      <c r="G13" s="29">
        <f>'4- ICFA &amp; LCR &amp; MMA &amp; NSFR'!B47/'2-Input - IIFS Liqudity'!G20</f>
        <v>0.10719018860575441</v>
      </c>
      <c r="H13" s="34">
        <v>3</v>
      </c>
      <c r="I13" s="31">
        <f>+'4- ICFA &amp; LCR &amp; MMA &amp; NSFR'!B53</f>
        <v>0</v>
      </c>
      <c r="J13" s="538">
        <f t="shared" si="0"/>
        <v>1</v>
      </c>
      <c r="K13" s="32" t="e">
        <v>#VALUE!</v>
      </c>
    </row>
    <row r="14" spans="1:22" ht="15" x14ac:dyDescent="0.25">
      <c r="A14" s="20">
        <v>1</v>
      </c>
      <c r="C14" s="537" t="s">
        <v>396</v>
      </c>
      <c r="D14" s="29">
        <f>+SUM('5-Calculation'!B76:E76)</f>
        <v>0.19410402840667632</v>
      </c>
      <c r="E14" s="29">
        <f>+SUM('5-Calculation'!B104:E104)</f>
        <v>0</v>
      </c>
      <c r="F14" s="29">
        <v>0</v>
      </c>
      <c r="G14" s="29">
        <f>'4- ICFA &amp; LCR &amp; MMA &amp; NSFR'!B61/'2-Input - IIFS Liqudity'!G20</f>
        <v>0.13517913883520505</v>
      </c>
      <c r="H14" s="35">
        <v>4</v>
      </c>
      <c r="I14" s="31">
        <f>+'4- ICFA &amp; LCR &amp; MMA &amp; NSFR'!B67</f>
        <v>0</v>
      </c>
      <c r="J14" s="538">
        <f t="shared" si="0"/>
        <v>1</v>
      </c>
      <c r="K14" s="32" t="e">
        <v>#VALUE!</v>
      </c>
    </row>
    <row r="15" spans="1:22" ht="15" x14ac:dyDescent="0.25">
      <c r="A15" s="20">
        <v>1</v>
      </c>
      <c r="C15" s="539" t="s">
        <v>397</v>
      </c>
      <c r="D15" s="36">
        <f>+SUM('5-Calculation'!B76:F76)</f>
        <v>0.23510555505134975</v>
      </c>
      <c r="E15" s="36">
        <f>+SUM('5-Calculation'!B104:F104)</f>
        <v>0</v>
      </c>
      <c r="F15" s="36">
        <v>0</v>
      </c>
      <c r="G15" s="36">
        <f>'4- ICFA &amp; LCR &amp; MMA &amp; NSFR'!B75/'2-Input - IIFS Liqudity'!G20</f>
        <v>0.16373367790506513</v>
      </c>
      <c r="H15" s="37">
        <v>5</v>
      </c>
      <c r="I15" s="38">
        <f>+'4- ICFA &amp; LCR &amp; MMA &amp; NSFR'!B81</f>
        <v>1</v>
      </c>
      <c r="J15" s="540">
        <f t="shared" si="0"/>
        <v>0.8</v>
      </c>
      <c r="K15" s="39" t="e">
        <v>#VALUE!</v>
      </c>
    </row>
    <row r="16" spans="1:22" s="17" customFormat="1" ht="15" x14ac:dyDescent="0.25">
      <c r="A16" s="20">
        <v>1</v>
      </c>
      <c r="C16" s="541"/>
      <c r="E16" s="18"/>
      <c r="F16" s="18"/>
      <c r="G16" s="40"/>
      <c r="H16" s="76"/>
      <c r="J16" s="542"/>
      <c r="R16" s="11"/>
      <c r="S16" s="11"/>
      <c r="T16" s="11"/>
      <c r="U16" s="11"/>
      <c r="V16" s="11"/>
    </row>
    <row r="17" spans="1:10" s="17" customFormat="1" ht="25.5" x14ac:dyDescent="0.2">
      <c r="A17" s="20">
        <v>1</v>
      </c>
      <c r="C17" s="543" t="s">
        <v>365</v>
      </c>
      <c r="D17" s="41">
        <f>D6-'4- ICFA &amp; LCR &amp; MMA &amp; NSFR'!B81</f>
        <v>4</v>
      </c>
      <c r="E17" s="18"/>
      <c r="J17" s="542"/>
    </row>
    <row r="18" spans="1:10" s="17" customFormat="1" x14ac:dyDescent="0.2">
      <c r="A18" s="20">
        <v>1</v>
      </c>
      <c r="C18" s="544" t="s">
        <v>202</v>
      </c>
      <c r="D18" s="41">
        <f>+'4- ICFA &amp; LCR &amp; MMA &amp; NSFR'!B82</f>
        <v>-264038.19061149616</v>
      </c>
      <c r="E18" s="18"/>
      <c r="J18" s="542"/>
    </row>
    <row r="19" spans="1:10" s="17" customFormat="1" ht="26.45" customHeight="1" x14ac:dyDescent="0.2">
      <c r="A19" s="20">
        <v>1</v>
      </c>
      <c r="C19" s="543" t="s">
        <v>203</v>
      </c>
      <c r="D19" s="42">
        <f>+D18/'2-Input - IIFS Liqudity'!G15</f>
        <v>-3.2166775300174833E-3</v>
      </c>
      <c r="E19" s="43"/>
      <c r="J19" s="542"/>
    </row>
    <row r="20" spans="1:10" s="17" customFormat="1" ht="13.15" customHeight="1" x14ac:dyDescent="0.2">
      <c r="A20" s="20">
        <v>1</v>
      </c>
      <c r="C20" s="541"/>
      <c r="E20" s="43"/>
      <c r="J20" s="542"/>
    </row>
    <row r="21" spans="1:10" ht="12.75" customHeight="1" x14ac:dyDescent="0.2">
      <c r="A21" s="20">
        <v>1</v>
      </c>
      <c r="C21" s="941" t="s">
        <v>327</v>
      </c>
      <c r="D21" s="942"/>
      <c r="E21" s="942"/>
      <c r="F21" s="942"/>
      <c r="G21" s="942"/>
      <c r="H21" s="942"/>
      <c r="I21" s="942"/>
      <c r="J21" s="943"/>
    </row>
    <row r="22" spans="1:10" x14ac:dyDescent="0.2">
      <c r="A22" s="20">
        <v>1</v>
      </c>
      <c r="C22" s="530"/>
      <c r="D22" s="21"/>
      <c r="E22" s="21"/>
      <c r="F22" s="21"/>
      <c r="G22" s="21"/>
      <c r="H22" s="21"/>
      <c r="I22" s="21"/>
      <c r="J22" s="529"/>
    </row>
    <row r="23" spans="1:10" ht="27.75" customHeight="1" x14ac:dyDescent="0.2">
      <c r="A23" s="20">
        <v>1</v>
      </c>
      <c r="C23" s="545" t="s">
        <v>205</v>
      </c>
      <c r="D23" s="44" t="s">
        <v>367</v>
      </c>
      <c r="E23" s="44" t="s">
        <v>206</v>
      </c>
      <c r="F23" s="24" t="s">
        <v>207</v>
      </c>
      <c r="G23" s="45" t="s">
        <v>208</v>
      </c>
      <c r="H23" s="46" t="s">
        <v>209</v>
      </c>
      <c r="I23" s="23" t="s">
        <v>204</v>
      </c>
      <c r="J23" s="529"/>
    </row>
    <row r="24" spans="1:10" ht="15" x14ac:dyDescent="0.25">
      <c r="A24" s="20">
        <v>1</v>
      </c>
      <c r="C24" s="546">
        <f>+'5-Calculation'!I76</f>
        <v>7.2352179292466151E-2</v>
      </c>
      <c r="D24" s="47">
        <f>+'5-Calculation'!I104</f>
        <v>0</v>
      </c>
      <c r="E24" s="47">
        <f>+'4- ICFA &amp; LCR &amp; MMA &amp; NSFR'!B92/'2-Input - IIFS Liqudity'!G20</f>
        <v>5.0387956241249879E-2</v>
      </c>
      <c r="F24" s="48" t="s">
        <v>156</v>
      </c>
      <c r="G24" s="49">
        <f>'4- ICFA &amp; LCR &amp; MMA &amp; NSFR'!B99</f>
        <v>0</v>
      </c>
      <c r="H24" s="25">
        <f>G24/$D$6</f>
        <v>0</v>
      </c>
      <c r="I24" s="28"/>
      <c r="J24" s="529"/>
    </row>
    <row r="25" spans="1:10" ht="15" x14ac:dyDescent="0.25">
      <c r="A25" s="20">
        <v>1</v>
      </c>
      <c r="C25" s="530"/>
      <c r="D25" s="21"/>
      <c r="E25" s="21"/>
      <c r="F25" s="50" t="s">
        <v>123</v>
      </c>
      <c r="G25" s="38">
        <f>D6-G24</f>
        <v>5</v>
      </c>
      <c r="H25" s="36">
        <f>G25/$D$6</f>
        <v>1</v>
      </c>
      <c r="I25" s="39"/>
      <c r="J25" s="529"/>
    </row>
    <row r="26" spans="1:10" s="12" customFormat="1" ht="15" x14ac:dyDescent="0.25">
      <c r="A26" s="20">
        <v>1</v>
      </c>
      <c r="C26" s="541"/>
      <c r="D26" s="17"/>
      <c r="E26" s="17"/>
      <c r="F26" s="51"/>
      <c r="G26" s="18"/>
      <c r="H26" s="40"/>
      <c r="I26" s="40"/>
      <c r="J26" s="542"/>
    </row>
    <row r="27" spans="1:10" s="12" customFormat="1" x14ac:dyDescent="0.2">
      <c r="A27" s="20">
        <v>1</v>
      </c>
      <c r="C27" s="543" t="s">
        <v>366</v>
      </c>
      <c r="D27" s="52">
        <f>G24</f>
        <v>0</v>
      </c>
      <c r="E27" s="17"/>
      <c r="F27" s="17"/>
      <c r="G27" s="17"/>
      <c r="H27" s="17"/>
      <c r="I27" s="17"/>
      <c r="J27" s="542"/>
    </row>
    <row r="28" spans="1:10" s="12" customFormat="1" x14ac:dyDescent="0.2">
      <c r="A28" s="20">
        <v>1</v>
      </c>
      <c r="C28" s="543" t="s">
        <v>202</v>
      </c>
      <c r="D28" s="52">
        <f>+'4- ICFA &amp; LCR &amp; MMA &amp; NSFR'!B100</f>
        <v>0</v>
      </c>
      <c r="E28" s="17"/>
      <c r="F28" s="17"/>
      <c r="G28" s="17"/>
      <c r="H28" s="17"/>
      <c r="I28" s="17"/>
      <c r="J28" s="542"/>
    </row>
    <row r="29" spans="1:10" ht="13.15" customHeight="1" x14ac:dyDescent="0.2">
      <c r="A29" s="20">
        <v>1</v>
      </c>
      <c r="C29" s="543" t="s">
        <v>211</v>
      </c>
      <c r="D29" s="53">
        <v>0</v>
      </c>
      <c r="E29" s="43"/>
      <c r="F29" s="17"/>
      <c r="G29" s="17"/>
      <c r="H29" s="17"/>
      <c r="I29" s="17"/>
      <c r="J29" s="529"/>
    </row>
    <row r="30" spans="1:10" ht="13.15" customHeight="1" x14ac:dyDescent="0.2">
      <c r="A30" s="20">
        <v>1</v>
      </c>
      <c r="C30" s="541"/>
      <c r="D30" s="17"/>
      <c r="E30" s="43"/>
      <c r="F30" s="17"/>
      <c r="G30" s="17"/>
      <c r="H30" s="17"/>
      <c r="I30" s="17"/>
      <c r="J30" s="529"/>
    </row>
    <row r="31" spans="1:10" x14ac:dyDescent="0.2">
      <c r="A31" s="20">
        <v>1</v>
      </c>
      <c r="C31" s="530"/>
      <c r="D31" s="21"/>
      <c r="E31" s="21"/>
      <c r="F31" s="21"/>
      <c r="G31" s="21"/>
      <c r="H31" s="21"/>
      <c r="I31" s="21"/>
      <c r="J31" s="529"/>
    </row>
    <row r="32" spans="1:10" ht="12.75" customHeight="1" x14ac:dyDescent="0.2">
      <c r="A32" s="20">
        <v>1</v>
      </c>
      <c r="C32" s="556" t="s">
        <v>328</v>
      </c>
      <c r="D32" s="557"/>
      <c r="E32" s="557"/>
      <c r="F32" s="557"/>
      <c r="G32" s="557"/>
      <c r="H32" s="557"/>
      <c r="I32" s="557"/>
      <c r="J32" s="561"/>
    </row>
    <row r="33" spans="1:10" x14ac:dyDescent="0.2">
      <c r="C33" s="558"/>
      <c r="D33" s="555"/>
      <c r="E33" s="555"/>
      <c r="F33" s="559"/>
      <c r="G33" s="555"/>
      <c r="H33" s="555"/>
      <c r="I33" s="560"/>
      <c r="J33" s="529"/>
    </row>
    <row r="34" spans="1:10" ht="15" x14ac:dyDescent="0.2">
      <c r="A34" s="20">
        <v>1</v>
      </c>
      <c r="C34" s="547" t="s">
        <v>212</v>
      </c>
      <c r="D34" s="54">
        <f>+'4- ICFA &amp; LCR &amp; MMA &amp; NSFR'!B111</f>
        <v>0.31008024259666911</v>
      </c>
      <c r="E34" s="21"/>
      <c r="F34" s="24" t="s">
        <v>213</v>
      </c>
      <c r="G34" s="46" t="s">
        <v>208</v>
      </c>
      <c r="H34" s="46" t="s">
        <v>209</v>
      </c>
      <c r="I34" s="24" t="s">
        <v>204</v>
      </c>
      <c r="J34" s="529"/>
    </row>
    <row r="35" spans="1:10" ht="15" x14ac:dyDescent="0.2">
      <c r="A35" s="20">
        <v>1</v>
      </c>
      <c r="C35" s="548" t="s">
        <v>214</v>
      </c>
      <c r="D35" s="55">
        <f>'4- ICFA &amp; LCR &amp; MMA &amp; NSFR'!B124/'2-Input - IIFS Liqudity'!G15</f>
        <v>1.2340070437801146E-2</v>
      </c>
      <c r="E35" s="56" t="s">
        <v>215</v>
      </c>
      <c r="F35" s="57" t="s">
        <v>216</v>
      </c>
      <c r="G35" s="517">
        <f>COUNTIF('4- ICFA &amp; LCR &amp; MMA &amp; NSFR'!D126:H126,"&lt;0.25")</f>
        <v>0</v>
      </c>
      <c r="H35" s="54">
        <f>G35/$D$6</f>
        <v>0</v>
      </c>
      <c r="I35" s="58">
        <f>SUMIF('4- ICFA &amp; LCR &amp; MMA &amp; NSFR'!D126:H126,"&lt;0.25",'4- ICFA &amp; LCR &amp; MMA &amp; NSFR'!D105:H105)/'4- ICFA &amp; LCR &amp; MMA &amp; NSFR'!B105</f>
        <v>0</v>
      </c>
      <c r="J35" s="529"/>
    </row>
    <row r="36" spans="1:10" ht="15" x14ac:dyDescent="0.2">
      <c r="A36" s="20">
        <v>1</v>
      </c>
      <c r="C36" s="549" t="s">
        <v>217</v>
      </c>
      <c r="D36" s="59">
        <f>D34+D35</f>
        <v>0.32242031303447027</v>
      </c>
      <c r="E36" s="56" t="s">
        <v>215</v>
      </c>
      <c r="F36" s="60" t="s">
        <v>218</v>
      </c>
      <c r="G36" s="518">
        <f>COUNTIF('4- ICFA &amp; LCR &amp; MMA &amp; NSFR'!D126:H126,"&lt;0.25")-G35</f>
        <v>0</v>
      </c>
      <c r="H36" s="55">
        <f>G36/$D$6</f>
        <v>0</v>
      </c>
      <c r="I36" s="61">
        <f>SUMIF('4- ICFA &amp; LCR &amp; MMA &amp; NSFR'!D126:H126,"&lt;0.5",'4- ICFA &amp; LCR &amp; MMA &amp; NSFR'!D105:H105)/'4- ICFA &amp; LCR &amp; MMA &amp; NSFR'!$B$105-I35</f>
        <v>0</v>
      </c>
      <c r="J36" s="529"/>
    </row>
    <row r="37" spans="1:10" ht="15" x14ac:dyDescent="0.2">
      <c r="A37" s="20">
        <v>1</v>
      </c>
      <c r="C37" s="543" t="s">
        <v>219</v>
      </c>
      <c r="D37" s="62">
        <f>+'4- ICFA &amp; LCR &amp; MMA &amp; NSFR'!B119/'2-Input - IIFS Liqudity'!G15</f>
        <v>8.1945672208490083E-2</v>
      </c>
      <c r="E37" s="56" t="s">
        <v>215</v>
      </c>
      <c r="F37" s="63" t="s">
        <v>220</v>
      </c>
      <c r="G37" s="518">
        <f>COUNTIF('4- ICFA &amp; LCR &amp; MMA &amp; NSFR'!$D$126:$H$126,"&lt;0.5")-SUM(G35:G36)</f>
        <v>0</v>
      </c>
      <c r="H37" s="55">
        <f>G37/$D$6</f>
        <v>0</v>
      </c>
      <c r="I37" s="61">
        <f>SUMIF('4- ICFA &amp; LCR &amp; MMA &amp; NSFR'!D126:H126,"&lt;0.75",'4- ICFA &amp; LCR &amp; MMA &amp; NSFR'!D105:H105)/'4- ICFA &amp; LCR &amp; MMA &amp; NSFR'!B105-I35-I36</f>
        <v>0</v>
      </c>
      <c r="J37" s="529"/>
    </row>
    <row r="38" spans="1:10" ht="15" x14ac:dyDescent="0.2">
      <c r="A38" s="20">
        <v>1</v>
      </c>
      <c r="C38" s="530"/>
      <c r="D38" s="21"/>
      <c r="E38" s="56" t="s">
        <v>215</v>
      </c>
      <c r="F38" s="64" t="s">
        <v>221</v>
      </c>
      <c r="G38" s="518">
        <f>COUNTIF('4- ICFA &amp; LCR &amp; MMA &amp; NSFR'!$D$126:$H$126,"&lt;0.75")-SUM(G36:G37)</f>
        <v>0</v>
      </c>
      <c r="H38" s="55">
        <f>G38/$D$6</f>
        <v>0</v>
      </c>
      <c r="I38" s="61">
        <f>SUMIF('4- ICFA &amp; LCR &amp; MMA &amp; NSFR'!D126:H126,"&lt;1",'4- ICFA &amp; LCR &amp; MMA &amp; NSFR'!D105:H105)/'4- ICFA &amp; LCR &amp; MMA &amp; NSFR'!B105-I35-I36-I37</f>
        <v>0</v>
      </c>
      <c r="J38" s="529"/>
    </row>
    <row r="39" spans="1:10" ht="15" x14ac:dyDescent="0.2">
      <c r="A39" s="20">
        <v>1</v>
      </c>
      <c r="C39" s="543" t="s">
        <v>222</v>
      </c>
      <c r="D39" s="65">
        <f>+'4- ICFA &amp; LCR &amp; MMA &amp; NSFR'!B126</f>
        <v>4.4770437272231822</v>
      </c>
      <c r="E39" s="56" t="s">
        <v>223</v>
      </c>
      <c r="F39" s="66" t="s">
        <v>224</v>
      </c>
      <c r="G39" s="519">
        <f>COUNT('4- ICFA &amp; LCR &amp; MMA &amp; NSFR'!$D$126:$H$126)-SUM(G37:G38)</f>
        <v>5</v>
      </c>
      <c r="H39" s="67">
        <f>G39/$D$6</f>
        <v>1</v>
      </c>
      <c r="I39" s="68">
        <f>SUMIF('4- ICFA &amp; LCR &amp; MMA &amp; NSFR'!D126:H126,"&gt;1",'4- ICFA &amp; LCR &amp; MMA &amp; NSFR'!D105:H105)/'4- ICFA &amp; LCR &amp; MMA &amp; NSFR'!B105</f>
        <v>1</v>
      </c>
      <c r="J39" s="529"/>
    </row>
    <row r="40" spans="1:10" s="12" customFormat="1" ht="15" x14ac:dyDescent="0.25">
      <c r="A40" s="20">
        <v>1</v>
      </c>
      <c r="C40" s="543" t="s">
        <v>225</v>
      </c>
      <c r="D40" s="65">
        <f>MEDIAN('4- ICFA &amp; LCR &amp; MMA &amp; NSFR'!D126:H126)</f>
        <v>4.890378015126986</v>
      </c>
      <c r="E40" s="43"/>
      <c r="F40" s="18"/>
      <c r="G40" s="18"/>
      <c r="H40" s="40"/>
      <c r="I40" s="40"/>
      <c r="J40" s="542"/>
    </row>
    <row r="41" spans="1:10" x14ac:dyDescent="0.2">
      <c r="A41" s="20">
        <v>1</v>
      </c>
      <c r="C41" s="543" t="s">
        <v>210</v>
      </c>
      <c r="D41" s="52">
        <f>+'4- ICFA &amp; LCR &amp; MMA &amp; NSFR'!B128</f>
        <v>0</v>
      </c>
      <c r="E41" s="21"/>
      <c r="F41" s="21"/>
      <c r="G41" s="21"/>
      <c r="H41" s="21"/>
      <c r="I41" s="21"/>
      <c r="J41" s="529"/>
    </row>
    <row r="42" spans="1:10" x14ac:dyDescent="0.2">
      <c r="A42" s="20">
        <v>1</v>
      </c>
      <c r="C42" s="543" t="s">
        <v>202</v>
      </c>
      <c r="D42" s="69">
        <f>+'4- ICFA &amp; LCR &amp; MMA &amp; NSFR'!B127</f>
        <v>0</v>
      </c>
      <c r="E42" s="21"/>
      <c r="F42" s="21"/>
      <c r="G42" s="21"/>
      <c r="H42" s="21"/>
      <c r="I42" s="21"/>
      <c r="J42" s="529"/>
    </row>
    <row r="43" spans="1:10" x14ac:dyDescent="0.2">
      <c r="A43" s="20">
        <v>1</v>
      </c>
      <c r="C43" s="543" t="s">
        <v>211</v>
      </c>
      <c r="D43" s="53">
        <f>D42/'2-Input - IIFS Liqudity'!G15</f>
        <v>0</v>
      </c>
      <c r="E43" s="21"/>
      <c r="F43" s="21"/>
      <c r="G43" s="21"/>
      <c r="H43" s="21"/>
      <c r="I43" s="21"/>
      <c r="J43" s="529"/>
    </row>
    <row r="44" spans="1:10" x14ac:dyDescent="0.2">
      <c r="A44" s="20">
        <v>1</v>
      </c>
      <c r="C44" s="530"/>
      <c r="D44" s="21"/>
      <c r="E44" s="21"/>
      <c r="F44" s="21"/>
      <c r="G44" s="21"/>
      <c r="H44" s="21"/>
      <c r="I44" s="21"/>
      <c r="J44" s="529"/>
    </row>
    <row r="45" spans="1:10" ht="12.75" customHeight="1" x14ac:dyDescent="0.2">
      <c r="A45" s="20">
        <v>1</v>
      </c>
      <c r="C45" s="941" t="s">
        <v>398</v>
      </c>
      <c r="D45" s="942"/>
      <c r="E45" s="942"/>
      <c r="F45" s="942"/>
      <c r="G45" s="942"/>
      <c r="H45" s="942"/>
      <c r="I45" s="942"/>
      <c r="J45" s="943"/>
    </row>
    <row r="46" spans="1:10" ht="15" x14ac:dyDescent="0.25">
      <c r="A46" s="20">
        <v>1</v>
      </c>
      <c r="C46" s="550"/>
      <c r="D46" s="524"/>
      <c r="E46" s="524"/>
      <c r="F46" s="524"/>
      <c r="G46" s="524"/>
      <c r="H46" s="524"/>
      <c r="I46" s="524"/>
      <c r="J46" s="529"/>
    </row>
    <row r="47" spans="1:10" ht="30" x14ac:dyDescent="0.25">
      <c r="A47" s="20">
        <v>1</v>
      </c>
      <c r="C47" s="616" t="s">
        <v>384</v>
      </c>
      <c r="D47" s="617" t="s">
        <v>399</v>
      </c>
      <c r="E47" s="617" t="s">
        <v>385</v>
      </c>
      <c r="F47" s="524"/>
      <c r="G47" s="524"/>
      <c r="H47" s="524"/>
      <c r="I47" s="524"/>
      <c r="J47" s="529"/>
    </row>
    <row r="48" spans="1:10" ht="15" customHeight="1" x14ac:dyDescent="0.25">
      <c r="A48" s="20">
        <v>1</v>
      </c>
      <c r="C48" s="618">
        <v>0</v>
      </c>
      <c r="D48" s="619">
        <f>+'5-Calculation'!B228</f>
        <v>0</v>
      </c>
      <c r="E48" s="620">
        <v>0</v>
      </c>
      <c r="F48" s="524"/>
      <c r="G48" s="524"/>
      <c r="H48" s="524"/>
      <c r="I48" s="524"/>
      <c r="J48" s="529"/>
    </row>
    <row r="49" spans="1:10" ht="15" x14ac:dyDescent="0.25">
      <c r="A49" s="20">
        <v>1</v>
      </c>
      <c r="C49" s="621" t="s">
        <v>380</v>
      </c>
      <c r="D49" s="612">
        <f>+'5-Calculation'!B228</f>
        <v>0</v>
      </c>
      <c r="E49" s="613">
        <f>SUMIF('5-Calculation'!C228:G228,"&gt;0",'4- ICFA &amp; LCR &amp; MMA &amp; NSFR'!$D$13:$H$13)/'4- ICFA &amp; LCR &amp; MMA &amp; NSFR'!$B$13</f>
        <v>0</v>
      </c>
      <c r="F49" s="524"/>
      <c r="G49" s="524"/>
      <c r="H49" s="524"/>
      <c r="I49" s="524"/>
      <c r="J49" s="529"/>
    </row>
    <row r="50" spans="1:10" ht="15" x14ac:dyDescent="0.25">
      <c r="A50" s="20">
        <v>1</v>
      </c>
      <c r="C50" s="621" t="s">
        <v>381</v>
      </c>
      <c r="D50" s="612">
        <f>+'5-Calculation'!B229</f>
        <v>2</v>
      </c>
      <c r="E50" s="613">
        <f>SUMIF('5-Calculation'!C229:G229,"&gt;0",'4- ICFA &amp; LCR &amp; MMA &amp; NSFR'!$D$13:$H$13)/'4- ICFA &amp; LCR &amp; MMA &amp; NSFR'!$B$13</f>
        <v>0.40563851561403547</v>
      </c>
      <c r="F50" s="21"/>
      <c r="G50" s="21"/>
      <c r="H50" s="21"/>
      <c r="I50" s="21"/>
      <c r="J50" s="529"/>
    </row>
    <row r="51" spans="1:10" ht="15" x14ac:dyDescent="0.25">
      <c r="A51" s="20">
        <v>1</v>
      </c>
      <c r="C51" s="621" t="s">
        <v>382</v>
      </c>
      <c r="D51" s="612">
        <f>+'5-Calculation'!B230</f>
        <v>5</v>
      </c>
      <c r="E51" s="613">
        <f>SUMIF('5-Calculation'!C230:G230,"&gt;0",'4- ICFA &amp; LCR &amp; MMA &amp; NSFR'!$D$13:$H$13)/'4- ICFA &amp; LCR &amp; MMA &amp; NSFR'!$B$13</f>
        <v>1</v>
      </c>
      <c r="F51" s="21"/>
      <c r="G51" s="21"/>
      <c r="H51" s="21"/>
      <c r="I51" s="21"/>
      <c r="J51" s="529"/>
    </row>
    <row r="52" spans="1:10" ht="15" x14ac:dyDescent="0.25">
      <c r="A52" s="20">
        <v>1</v>
      </c>
      <c r="C52" s="621" t="s">
        <v>383</v>
      </c>
      <c r="D52" s="612">
        <f>+'5-Calculation'!B231</f>
        <v>5</v>
      </c>
      <c r="E52" s="613">
        <f>SUMIF('5-Calculation'!C231:G231,"&gt;0",'4- ICFA &amp; LCR &amp; MMA &amp; NSFR'!$D$13:$H$13)/'4- ICFA &amp; LCR &amp; MMA &amp; NSFR'!$B$13</f>
        <v>1</v>
      </c>
      <c r="F52" s="21"/>
      <c r="G52" s="21"/>
      <c r="H52" s="21"/>
      <c r="I52" s="21"/>
      <c r="J52" s="529"/>
    </row>
    <row r="53" spans="1:10" ht="15" x14ac:dyDescent="0.25">
      <c r="C53" s="622" t="s">
        <v>441</v>
      </c>
      <c r="D53" s="614"/>
      <c r="E53" s="615"/>
      <c r="F53" s="21"/>
      <c r="G53" s="21"/>
      <c r="H53" s="21"/>
      <c r="I53" s="21"/>
      <c r="J53" s="529"/>
    </row>
    <row r="54" spans="1:10" x14ac:dyDescent="0.2">
      <c r="A54" s="20">
        <v>1</v>
      </c>
      <c r="C54" s="530"/>
      <c r="D54" s="21"/>
      <c r="E54" s="21"/>
      <c r="F54" s="21"/>
      <c r="G54" s="21"/>
      <c r="H54" s="21"/>
      <c r="I54" s="21"/>
      <c r="J54" s="529"/>
    </row>
    <row r="55" spans="1:10" ht="12.75" customHeight="1" x14ac:dyDescent="0.2">
      <c r="A55" s="20">
        <v>1</v>
      </c>
      <c r="C55" s="941" t="s">
        <v>386</v>
      </c>
      <c r="D55" s="942"/>
      <c r="E55" s="942"/>
      <c r="F55" s="942"/>
      <c r="G55" s="942"/>
      <c r="H55" s="942"/>
      <c r="I55" s="942"/>
      <c r="J55" s="943"/>
    </row>
    <row r="56" spans="1:10" x14ac:dyDescent="0.2">
      <c r="A56" s="20">
        <v>1</v>
      </c>
      <c r="C56" s="530"/>
      <c r="D56" s="21"/>
      <c r="E56" s="21"/>
      <c r="F56" s="21"/>
      <c r="G56" s="21"/>
      <c r="H56" s="21"/>
      <c r="I56" s="21"/>
      <c r="J56" s="529"/>
    </row>
    <row r="57" spans="1:10" ht="48" customHeight="1" x14ac:dyDescent="0.2">
      <c r="A57" s="20">
        <v>1</v>
      </c>
      <c r="C57" s="543" t="s">
        <v>226</v>
      </c>
      <c r="D57" s="70">
        <f>+'4- ICFA &amp; LCR &amp; MMA &amp; NSFR'!B136/'2-Input - IIFS Liqudity'!G15</f>
        <v>0.18195574167797998</v>
      </c>
      <c r="E57" s="21"/>
      <c r="F57" s="24" t="s">
        <v>227</v>
      </c>
      <c r="G57" s="623" t="s">
        <v>208</v>
      </c>
      <c r="H57" s="46" t="s">
        <v>209</v>
      </c>
      <c r="I57" s="24" t="s">
        <v>204</v>
      </c>
      <c r="J57" s="529"/>
    </row>
    <row r="58" spans="1:10" ht="45" customHeight="1" x14ac:dyDescent="0.2">
      <c r="A58" s="20">
        <v>1</v>
      </c>
      <c r="C58" s="543" t="s">
        <v>228</v>
      </c>
      <c r="D58" s="70">
        <f>+'4- ICFA &amp; LCR &amp; MMA &amp; NSFR'!B138/'2-Input - IIFS Liqudity'!G15</f>
        <v>4.4259389195126488E-2</v>
      </c>
      <c r="E58" s="71" t="s">
        <v>215</v>
      </c>
      <c r="F58" s="26" t="s">
        <v>216</v>
      </c>
      <c r="G58" s="629">
        <f>COUNTIF('4- ICFA &amp; LCR &amp; MMA &amp; NSFR'!D140:H140,"&lt;0.25")</f>
        <v>0</v>
      </c>
      <c r="H58" s="54">
        <f>G58/$D$6</f>
        <v>0</v>
      </c>
      <c r="I58" s="58">
        <f>SUMIF('4- ICFA &amp; LCR &amp; MMA &amp; NSFR'!D140:H140,"&lt;0.25",'4- ICFA &amp; LCR &amp; MMA &amp; NSFR'!D119:H119)/'4- ICFA &amp; LCR &amp; MMA &amp; NSFR'!B119</f>
        <v>0</v>
      </c>
      <c r="J58" s="529"/>
    </row>
    <row r="59" spans="1:10" ht="15" x14ac:dyDescent="0.2">
      <c r="A59" s="20">
        <v>1</v>
      </c>
      <c r="C59" s="530"/>
      <c r="D59" s="21"/>
      <c r="E59" s="71" t="s">
        <v>215</v>
      </c>
      <c r="F59" s="30" t="s">
        <v>218</v>
      </c>
      <c r="G59" s="624">
        <f>COUNTIF('4- ICFA &amp; LCR &amp; MMA &amp; NSFR'!D140:H140,"&lt;0.25")-G58</f>
        <v>0</v>
      </c>
      <c r="H59" s="55">
        <f>G59/$D$6</f>
        <v>0</v>
      </c>
      <c r="I59" s="61">
        <f>SUMIF('4- ICFA &amp; LCR &amp; MMA &amp; NSFR'!D140:H140,"&lt;0.5",'4- ICFA &amp; LCR &amp; MMA &amp; NSFR'!D119:H119)/'4- ICFA &amp; LCR &amp; MMA &amp; NSFR'!$B$105-I58</f>
        <v>0</v>
      </c>
      <c r="J59" s="529"/>
    </row>
    <row r="60" spans="1:10" ht="15" x14ac:dyDescent="0.2">
      <c r="A60" s="20">
        <v>1</v>
      </c>
      <c r="C60" s="543" t="s">
        <v>229</v>
      </c>
      <c r="D60" s="65">
        <f>+'4- ICFA &amp; LCR &amp; MMA &amp; NSFR'!B140</f>
        <v>4.08841925121438</v>
      </c>
      <c r="E60" s="71" t="s">
        <v>215</v>
      </c>
      <c r="F60" s="33" t="s">
        <v>220</v>
      </c>
      <c r="G60" s="624">
        <f>COUNTIF('4- ICFA &amp; LCR &amp; MMA &amp; NSFR'!$D$140:$H$140,"&lt;0.5")-SUM(G58:G59)</f>
        <v>0</v>
      </c>
      <c r="H60" s="55">
        <f>G60/$D$6</f>
        <v>0</v>
      </c>
      <c r="I60" s="61">
        <f>SUMIF('4- ICFA &amp; LCR &amp; MMA &amp; NSFR'!D140:H140,"&lt;0.75",'4- ICFA &amp; LCR &amp; MMA &amp; NSFR'!D119:H119)/'4- ICFA &amp; LCR &amp; MMA &amp; NSFR'!B119-I58-I59</f>
        <v>0</v>
      </c>
      <c r="J60" s="529"/>
    </row>
    <row r="61" spans="1:10" ht="15" x14ac:dyDescent="0.2">
      <c r="A61" s="20">
        <v>1</v>
      </c>
      <c r="C61" s="543" t="s">
        <v>230</v>
      </c>
      <c r="D61" s="65">
        <f>MEDIAN('4- ICFA &amp; LCR &amp; MMA &amp; NSFR'!D140:H140)</f>
        <v>3.8678136477406926</v>
      </c>
      <c r="E61" s="71" t="s">
        <v>215</v>
      </c>
      <c r="F61" s="34" t="s">
        <v>221</v>
      </c>
      <c r="G61" s="624">
        <f>COUNTIF('4- ICFA &amp; LCR &amp; MMA &amp; NSFR'!$D$140:$H$140,"&lt;0.75")-SUM(G58:G60)</f>
        <v>0</v>
      </c>
      <c r="H61" s="55">
        <f>G61/$D$6</f>
        <v>0</v>
      </c>
      <c r="I61" s="61">
        <f>SUMIF('4- ICFA &amp; LCR &amp; MMA &amp; NSFR'!D140:H140,"&lt;1",'4- ICFA &amp; LCR &amp; MMA &amp; NSFR'!D119:H119)/'4- ICFA &amp; LCR &amp; MMA &amp; NSFR'!B119-I58-I59-I60</f>
        <v>0</v>
      </c>
      <c r="J61" s="529"/>
    </row>
    <row r="62" spans="1:10" ht="15" x14ac:dyDescent="0.2">
      <c r="A62" s="20">
        <v>1</v>
      </c>
      <c r="C62" s="543" t="s">
        <v>210</v>
      </c>
      <c r="D62" s="52">
        <f>+'4- ICFA &amp; LCR &amp; MMA &amp; NSFR'!B142</f>
        <v>0</v>
      </c>
      <c r="E62" s="71" t="s">
        <v>223</v>
      </c>
      <c r="F62" s="37" t="s">
        <v>224</v>
      </c>
      <c r="G62" s="625">
        <f>COUNT('4- ICFA &amp; LCR &amp; MMA &amp; NSFR'!$D$140:$H$140)-SUM(G58:G61)</f>
        <v>5</v>
      </c>
      <c r="H62" s="67">
        <f>G62/$D$6</f>
        <v>1</v>
      </c>
      <c r="I62" s="68">
        <f>SUMIF('4- ICFA &amp; LCR &amp; MMA &amp; NSFR'!D140:H140,"&gt;1",'4- ICFA &amp; LCR &amp; MMA &amp; NSFR'!D119:H119)/'4- ICFA &amp; LCR &amp; MMA &amp; NSFR'!B119</f>
        <v>1</v>
      </c>
      <c r="J62" s="529"/>
    </row>
    <row r="63" spans="1:10" x14ac:dyDescent="0.2">
      <c r="A63" s="20">
        <v>1</v>
      </c>
      <c r="C63" s="543" t="s">
        <v>202</v>
      </c>
      <c r="D63" s="69">
        <f>+'4- ICFA &amp; LCR &amp; MMA &amp; NSFR'!B141</f>
        <v>0</v>
      </c>
      <c r="E63" s="21"/>
      <c r="F63" s="21"/>
      <c r="G63" s="21"/>
      <c r="H63" s="21"/>
      <c r="I63" s="21"/>
      <c r="J63" s="529"/>
    </row>
    <row r="64" spans="1:10" ht="14.25" customHeight="1" thickBot="1" x14ac:dyDescent="0.25">
      <c r="A64" s="20">
        <v>1</v>
      </c>
      <c r="C64" s="551" t="s">
        <v>231</v>
      </c>
      <c r="D64" s="552">
        <f>D63/'2-Input - IIFS Liqudity'!G20</f>
        <v>0</v>
      </c>
      <c r="E64" s="553"/>
      <c r="F64" s="553"/>
      <c r="G64" s="553"/>
      <c r="H64" s="553"/>
      <c r="I64" s="553"/>
      <c r="J64" s="554"/>
    </row>
    <row r="65" spans="1:1" ht="13.5" thickTop="1" x14ac:dyDescent="0.2">
      <c r="A65" s="20">
        <v>1</v>
      </c>
    </row>
  </sheetData>
  <mergeCells count="6">
    <mergeCell ref="C2:J2"/>
    <mergeCell ref="C8:J8"/>
    <mergeCell ref="C55:J55"/>
    <mergeCell ref="C4:J4"/>
    <mergeCell ref="C21:J21"/>
    <mergeCell ref="C45:J45"/>
  </mergeCells>
  <conditionalFormatting sqref="D5 D7">
    <cfRule type="cellIs" dxfId="2" priority="172" stopIfTrue="1" operator="greaterThan">
      <formula>0</formula>
    </cfRule>
  </conditionalFormatting>
  <conditionalFormatting sqref="D5">
    <cfRule type="colorScale" priority="171">
      <colorScale>
        <cfvo type="min"/>
        <cfvo type="percentile" val="50"/>
        <cfvo type="max"/>
        <color rgb="FF63BE7B"/>
        <color rgb="FFFFEB84"/>
        <color rgb="FFF8696B"/>
      </colorScale>
    </cfRule>
  </conditionalFormatting>
  <conditionalFormatting sqref="D5">
    <cfRule type="colorScale" priority="170">
      <colorScale>
        <cfvo type="num" val="0"/>
        <cfvo type="num" val="1"/>
        <color rgb="FF63BE7B"/>
        <color rgb="FFFFEF9C"/>
      </colorScale>
    </cfRule>
  </conditionalFormatting>
  <conditionalFormatting sqref="J17:AG17 E17">
    <cfRule type="colorScale" priority="169">
      <colorScale>
        <cfvo type="min"/>
        <cfvo type="percentile" val="50"/>
        <cfvo type="max"/>
        <color rgb="FF63BE7B"/>
        <color rgb="FFFFEB84"/>
        <color rgb="FFF8696B"/>
      </colorScale>
    </cfRule>
  </conditionalFormatting>
  <conditionalFormatting sqref="E17:E18 D22:E23 F22:F24 G22:I23 J22:BA24 J17:BA18 K21:BA21">
    <cfRule type="colorScale" priority="168">
      <colorScale>
        <cfvo type="num" val="0"/>
        <cfvo type="num" val="1"/>
        <color rgb="FF00B050"/>
        <color rgb="FFFF0000"/>
      </colorScale>
    </cfRule>
  </conditionalFormatting>
  <conditionalFormatting sqref="J18:AG18 E18">
    <cfRule type="colorScale" priority="167">
      <colorScale>
        <cfvo type="min"/>
        <cfvo type="percentile" val="50"/>
        <cfvo type="max"/>
        <color rgb="FF63BE7B"/>
        <color rgb="FFFFEB84"/>
        <color rgb="FFF8696B"/>
      </colorScale>
    </cfRule>
  </conditionalFormatting>
  <conditionalFormatting sqref="K21:AG21">
    <cfRule type="colorScale" priority="166">
      <colorScale>
        <cfvo type="min"/>
        <cfvo type="percentile" val="50"/>
        <cfvo type="max"/>
        <color rgb="FF63BE7B"/>
        <color rgb="FFFFEB84"/>
        <color rgb="FFF8696B"/>
      </colorScale>
    </cfRule>
  </conditionalFormatting>
  <conditionalFormatting sqref="D22:E23 F22:F24 J22:AG24 G22:I23">
    <cfRule type="colorScale" priority="165">
      <colorScale>
        <cfvo type="min"/>
        <cfvo type="percentile" val="50"/>
        <cfvo type="max"/>
        <color rgb="FF63BE7B"/>
        <color rgb="FFFFEB84"/>
        <color rgb="FFF8696B"/>
      </colorScale>
    </cfRule>
  </conditionalFormatting>
  <conditionalFormatting sqref="AH17">
    <cfRule type="colorScale" priority="163">
      <colorScale>
        <cfvo type="min"/>
        <cfvo type="percentile" val="50"/>
        <cfvo type="max"/>
        <color rgb="FF63BE7B"/>
        <color rgb="FFFFEB84"/>
        <color rgb="FFF8696B"/>
      </colorScale>
    </cfRule>
  </conditionalFormatting>
  <conditionalFormatting sqref="AH18">
    <cfRule type="colorScale" priority="162">
      <colorScale>
        <cfvo type="min"/>
        <cfvo type="percentile" val="50"/>
        <cfvo type="max"/>
        <color rgb="FF63BE7B"/>
        <color rgb="FFFFEB84"/>
        <color rgb="FFF8696B"/>
      </colorScale>
    </cfRule>
  </conditionalFormatting>
  <conditionalFormatting sqref="AH21">
    <cfRule type="colorScale" priority="161">
      <colorScale>
        <cfvo type="min"/>
        <cfvo type="percentile" val="50"/>
        <cfvo type="max"/>
        <color rgb="FF63BE7B"/>
        <color rgb="FFFFEB84"/>
        <color rgb="FFF8696B"/>
      </colorScale>
    </cfRule>
  </conditionalFormatting>
  <conditionalFormatting sqref="AH22:AH24">
    <cfRule type="colorScale" priority="160">
      <colorScale>
        <cfvo type="min"/>
        <cfvo type="percentile" val="50"/>
        <cfvo type="max"/>
        <color rgb="FF63BE7B"/>
        <color rgb="FFFFEB84"/>
        <color rgb="FFF8696B"/>
      </colorScale>
    </cfRule>
  </conditionalFormatting>
  <conditionalFormatting sqref="AI17">
    <cfRule type="colorScale" priority="159">
      <colorScale>
        <cfvo type="min"/>
        <cfvo type="percentile" val="50"/>
        <cfvo type="max"/>
        <color rgb="FF63BE7B"/>
        <color rgb="FFFFEB84"/>
        <color rgb="FFF8696B"/>
      </colorScale>
    </cfRule>
  </conditionalFormatting>
  <conditionalFormatting sqref="AI18">
    <cfRule type="colorScale" priority="158">
      <colorScale>
        <cfvo type="min"/>
        <cfvo type="percentile" val="50"/>
        <cfvo type="max"/>
        <color rgb="FF63BE7B"/>
        <color rgb="FFFFEB84"/>
        <color rgb="FFF8696B"/>
      </colorScale>
    </cfRule>
  </conditionalFormatting>
  <conditionalFormatting sqref="AI21">
    <cfRule type="colorScale" priority="157">
      <colorScale>
        <cfvo type="min"/>
        <cfvo type="percentile" val="50"/>
        <cfvo type="max"/>
        <color rgb="FF63BE7B"/>
        <color rgb="FFFFEB84"/>
        <color rgb="FFF8696B"/>
      </colorScale>
    </cfRule>
  </conditionalFormatting>
  <conditionalFormatting sqref="AI22:AI24">
    <cfRule type="colorScale" priority="156">
      <colorScale>
        <cfvo type="min"/>
        <cfvo type="percentile" val="50"/>
        <cfvo type="max"/>
        <color rgb="FF63BE7B"/>
        <color rgb="FFFFEB84"/>
        <color rgb="FFF8696B"/>
      </colorScale>
    </cfRule>
  </conditionalFormatting>
  <conditionalFormatting sqref="AJ17">
    <cfRule type="colorScale" priority="155">
      <colorScale>
        <cfvo type="min"/>
        <cfvo type="percentile" val="50"/>
        <cfvo type="max"/>
        <color rgb="FF63BE7B"/>
        <color rgb="FFFFEB84"/>
        <color rgb="FFF8696B"/>
      </colorScale>
    </cfRule>
  </conditionalFormatting>
  <conditionalFormatting sqref="AJ18">
    <cfRule type="colorScale" priority="154">
      <colorScale>
        <cfvo type="min"/>
        <cfvo type="percentile" val="50"/>
        <cfvo type="max"/>
        <color rgb="FF63BE7B"/>
        <color rgb="FFFFEB84"/>
        <color rgb="FFF8696B"/>
      </colorScale>
    </cfRule>
  </conditionalFormatting>
  <conditionalFormatting sqref="AJ21">
    <cfRule type="colorScale" priority="153">
      <colorScale>
        <cfvo type="min"/>
        <cfvo type="percentile" val="50"/>
        <cfvo type="max"/>
        <color rgb="FF63BE7B"/>
        <color rgb="FFFFEB84"/>
        <color rgb="FFF8696B"/>
      </colorScale>
    </cfRule>
  </conditionalFormatting>
  <conditionalFormatting sqref="AJ22:AJ24">
    <cfRule type="colorScale" priority="152">
      <colorScale>
        <cfvo type="min"/>
        <cfvo type="percentile" val="50"/>
        <cfvo type="max"/>
        <color rgb="FF63BE7B"/>
        <color rgb="FFFFEB84"/>
        <color rgb="FFF8696B"/>
      </colorScale>
    </cfRule>
  </conditionalFormatting>
  <conditionalFormatting sqref="AK17">
    <cfRule type="colorScale" priority="151">
      <colorScale>
        <cfvo type="min"/>
        <cfvo type="percentile" val="50"/>
        <cfvo type="max"/>
        <color rgb="FF63BE7B"/>
        <color rgb="FFFFEB84"/>
        <color rgb="FFF8696B"/>
      </colorScale>
    </cfRule>
  </conditionalFormatting>
  <conditionalFormatting sqref="AK18">
    <cfRule type="colorScale" priority="150">
      <colorScale>
        <cfvo type="min"/>
        <cfvo type="percentile" val="50"/>
        <cfvo type="max"/>
        <color rgb="FF63BE7B"/>
        <color rgb="FFFFEB84"/>
        <color rgb="FFF8696B"/>
      </colorScale>
    </cfRule>
  </conditionalFormatting>
  <conditionalFormatting sqref="AK21">
    <cfRule type="colorScale" priority="149">
      <colorScale>
        <cfvo type="min"/>
        <cfvo type="percentile" val="50"/>
        <cfvo type="max"/>
        <color rgb="FF63BE7B"/>
        <color rgb="FFFFEB84"/>
        <color rgb="FFF8696B"/>
      </colorScale>
    </cfRule>
  </conditionalFormatting>
  <conditionalFormatting sqref="AK22:AK24">
    <cfRule type="colorScale" priority="148">
      <colorScale>
        <cfvo type="min"/>
        <cfvo type="percentile" val="50"/>
        <cfvo type="max"/>
        <color rgb="FF63BE7B"/>
        <color rgb="FFFFEB84"/>
        <color rgb="FFF8696B"/>
      </colorScale>
    </cfRule>
  </conditionalFormatting>
  <conditionalFormatting sqref="AL17">
    <cfRule type="colorScale" priority="147">
      <colorScale>
        <cfvo type="min"/>
        <cfvo type="percentile" val="50"/>
        <cfvo type="max"/>
        <color rgb="FF63BE7B"/>
        <color rgb="FFFFEB84"/>
        <color rgb="FFF8696B"/>
      </colorScale>
    </cfRule>
  </conditionalFormatting>
  <conditionalFormatting sqref="AL18">
    <cfRule type="colorScale" priority="146">
      <colorScale>
        <cfvo type="min"/>
        <cfvo type="percentile" val="50"/>
        <cfvo type="max"/>
        <color rgb="FF63BE7B"/>
        <color rgb="FFFFEB84"/>
        <color rgb="FFF8696B"/>
      </colorScale>
    </cfRule>
  </conditionalFormatting>
  <conditionalFormatting sqref="AL21">
    <cfRule type="colorScale" priority="145">
      <colorScale>
        <cfvo type="min"/>
        <cfvo type="percentile" val="50"/>
        <cfvo type="max"/>
        <color rgb="FF63BE7B"/>
        <color rgb="FFFFEB84"/>
        <color rgb="FFF8696B"/>
      </colorScale>
    </cfRule>
  </conditionalFormatting>
  <conditionalFormatting sqref="AL22:AL24">
    <cfRule type="colorScale" priority="144">
      <colorScale>
        <cfvo type="min"/>
        <cfvo type="percentile" val="50"/>
        <cfvo type="max"/>
        <color rgb="FF63BE7B"/>
        <color rgb="FFFFEB84"/>
        <color rgb="FFF8696B"/>
      </colorScale>
    </cfRule>
  </conditionalFormatting>
  <conditionalFormatting sqref="AM17">
    <cfRule type="colorScale" priority="143">
      <colorScale>
        <cfvo type="min"/>
        <cfvo type="percentile" val="50"/>
        <cfvo type="max"/>
        <color rgb="FF63BE7B"/>
        <color rgb="FFFFEB84"/>
        <color rgb="FFF8696B"/>
      </colorScale>
    </cfRule>
  </conditionalFormatting>
  <conditionalFormatting sqref="AM18">
    <cfRule type="colorScale" priority="142">
      <colorScale>
        <cfvo type="min"/>
        <cfvo type="percentile" val="50"/>
        <cfvo type="max"/>
        <color rgb="FF63BE7B"/>
        <color rgb="FFFFEB84"/>
        <color rgb="FFF8696B"/>
      </colorScale>
    </cfRule>
  </conditionalFormatting>
  <conditionalFormatting sqref="AM21">
    <cfRule type="colorScale" priority="141">
      <colorScale>
        <cfvo type="min"/>
        <cfvo type="percentile" val="50"/>
        <cfvo type="max"/>
        <color rgb="FF63BE7B"/>
        <color rgb="FFFFEB84"/>
        <color rgb="FFF8696B"/>
      </colorScale>
    </cfRule>
  </conditionalFormatting>
  <conditionalFormatting sqref="AM22:AM24">
    <cfRule type="colorScale" priority="140">
      <colorScale>
        <cfvo type="min"/>
        <cfvo type="percentile" val="50"/>
        <cfvo type="max"/>
        <color rgb="FF63BE7B"/>
        <color rgb="FFFFEB84"/>
        <color rgb="FFF8696B"/>
      </colorScale>
    </cfRule>
  </conditionalFormatting>
  <conditionalFormatting sqref="AN17">
    <cfRule type="colorScale" priority="139">
      <colorScale>
        <cfvo type="min"/>
        <cfvo type="percentile" val="50"/>
        <cfvo type="max"/>
        <color rgb="FF63BE7B"/>
        <color rgb="FFFFEB84"/>
        <color rgb="FFF8696B"/>
      </colorScale>
    </cfRule>
  </conditionalFormatting>
  <conditionalFormatting sqref="AN18">
    <cfRule type="colorScale" priority="138">
      <colorScale>
        <cfvo type="min"/>
        <cfvo type="percentile" val="50"/>
        <cfvo type="max"/>
        <color rgb="FF63BE7B"/>
        <color rgb="FFFFEB84"/>
        <color rgb="FFF8696B"/>
      </colorScale>
    </cfRule>
  </conditionalFormatting>
  <conditionalFormatting sqref="AN21">
    <cfRule type="colorScale" priority="137">
      <colorScale>
        <cfvo type="min"/>
        <cfvo type="percentile" val="50"/>
        <cfvo type="max"/>
        <color rgb="FF63BE7B"/>
        <color rgb="FFFFEB84"/>
        <color rgb="FFF8696B"/>
      </colorScale>
    </cfRule>
  </conditionalFormatting>
  <conditionalFormatting sqref="AN22:AN24">
    <cfRule type="colorScale" priority="136">
      <colorScale>
        <cfvo type="min"/>
        <cfvo type="percentile" val="50"/>
        <cfvo type="max"/>
        <color rgb="FF63BE7B"/>
        <color rgb="FFFFEB84"/>
        <color rgb="FFF8696B"/>
      </colorScale>
    </cfRule>
  </conditionalFormatting>
  <conditionalFormatting sqref="AO17">
    <cfRule type="colorScale" priority="135">
      <colorScale>
        <cfvo type="min"/>
        <cfvo type="percentile" val="50"/>
        <cfvo type="max"/>
        <color rgb="FF63BE7B"/>
        <color rgb="FFFFEB84"/>
        <color rgb="FFF8696B"/>
      </colorScale>
    </cfRule>
  </conditionalFormatting>
  <conditionalFormatting sqref="AO18">
    <cfRule type="colorScale" priority="134">
      <colorScale>
        <cfvo type="min"/>
        <cfvo type="percentile" val="50"/>
        <cfvo type="max"/>
        <color rgb="FF63BE7B"/>
        <color rgb="FFFFEB84"/>
        <color rgb="FFF8696B"/>
      </colorScale>
    </cfRule>
  </conditionalFormatting>
  <conditionalFormatting sqref="AO21">
    <cfRule type="colorScale" priority="133">
      <colorScale>
        <cfvo type="min"/>
        <cfvo type="percentile" val="50"/>
        <cfvo type="max"/>
        <color rgb="FF63BE7B"/>
        <color rgb="FFFFEB84"/>
        <color rgb="FFF8696B"/>
      </colorScale>
    </cfRule>
  </conditionalFormatting>
  <conditionalFormatting sqref="AO22:AO24">
    <cfRule type="colorScale" priority="132">
      <colorScale>
        <cfvo type="min"/>
        <cfvo type="percentile" val="50"/>
        <cfvo type="max"/>
        <color rgb="FF63BE7B"/>
        <color rgb="FFFFEB84"/>
        <color rgb="FFF8696B"/>
      </colorScale>
    </cfRule>
  </conditionalFormatting>
  <conditionalFormatting sqref="AP17">
    <cfRule type="colorScale" priority="131">
      <colorScale>
        <cfvo type="min"/>
        <cfvo type="percentile" val="50"/>
        <cfvo type="max"/>
        <color rgb="FF63BE7B"/>
        <color rgb="FFFFEB84"/>
        <color rgb="FFF8696B"/>
      </colorScale>
    </cfRule>
  </conditionalFormatting>
  <conditionalFormatting sqref="AP18">
    <cfRule type="colorScale" priority="130">
      <colorScale>
        <cfvo type="min"/>
        <cfvo type="percentile" val="50"/>
        <cfvo type="max"/>
        <color rgb="FF63BE7B"/>
        <color rgb="FFFFEB84"/>
        <color rgb="FFF8696B"/>
      </colorScale>
    </cfRule>
  </conditionalFormatting>
  <conditionalFormatting sqref="AP21">
    <cfRule type="colorScale" priority="129">
      <colorScale>
        <cfvo type="min"/>
        <cfvo type="percentile" val="50"/>
        <cfvo type="max"/>
        <color rgb="FF63BE7B"/>
        <color rgb="FFFFEB84"/>
        <color rgb="FFF8696B"/>
      </colorScale>
    </cfRule>
  </conditionalFormatting>
  <conditionalFormatting sqref="AP22:AP24">
    <cfRule type="colorScale" priority="128">
      <colorScale>
        <cfvo type="min"/>
        <cfvo type="percentile" val="50"/>
        <cfvo type="max"/>
        <color rgb="FF63BE7B"/>
        <color rgb="FFFFEB84"/>
        <color rgb="FFF8696B"/>
      </colorScale>
    </cfRule>
  </conditionalFormatting>
  <conditionalFormatting sqref="AQ17">
    <cfRule type="colorScale" priority="127">
      <colorScale>
        <cfvo type="min"/>
        <cfvo type="percentile" val="50"/>
        <cfvo type="max"/>
        <color rgb="FF63BE7B"/>
        <color rgb="FFFFEB84"/>
        <color rgb="FFF8696B"/>
      </colorScale>
    </cfRule>
  </conditionalFormatting>
  <conditionalFormatting sqref="AQ18">
    <cfRule type="colorScale" priority="126">
      <colorScale>
        <cfvo type="min"/>
        <cfvo type="percentile" val="50"/>
        <cfvo type="max"/>
        <color rgb="FF63BE7B"/>
        <color rgb="FFFFEB84"/>
        <color rgb="FFF8696B"/>
      </colorScale>
    </cfRule>
  </conditionalFormatting>
  <conditionalFormatting sqref="AQ21">
    <cfRule type="colorScale" priority="125">
      <colorScale>
        <cfvo type="min"/>
        <cfvo type="percentile" val="50"/>
        <cfvo type="max"/>
        <color rgb="FF63BE7B"/>
        <color rgb="FFFFEB84"/>
        <color rgb="FFF8696B"/>
      </colorScale>
    </cfRule>
  </conditionalFormatting>
  <conditionalFormatting sqref="AQ22:AQ24">
    <cfRule type="colorScale" priority="124">
      <colorScale>
        <cfvo type="min"/>
        <cfvo type="percentile" val="50"/>
        <cfvo type="max"/>
        <color rgb="FF63BE7B"/>
        <color rgb="FFFFEB84"/>
        <color rgb="FFF8696B"/>
      </colorScale>
    </cfRule>
  </conditionalFormatting>
  <conditionalFormatting sqref="AR17">
    <cfRule type="colorScale" priority="123">
      <colorScale>
        <cfvo type="min"/>
        <cfvo type="percentile" val="50"/>
        <cfvo type="max"/>
        <color rgb="FF63BE7B"/>
        <color rgb="FFFFEB84"/>
        <color rgb="FFF8696B"/>
      </colorScale>
    </cfRule>
  </conditionalFormatting>
  <conditionalFormatting sqref="AR18">
    <cfRule type="colorScale" priority="122">
      <colorScale>
        <cfvo type="min"/>
        <cfvo type="percentile" val="50"/>
        <cfvo type="max"/>
        <color rgb="FF63BE7B"/>
        <color rgb="FFFFEB84"/>
        <color rgb="FFF8696B"/>
      </colorScale>
    </cfRule>
  </conditionalFormatting>
  <conditionalFormatting sqref="AR21">
    <cfRule type="colorScale" priority="121">
      <colorScale>
        <cfvo type="min"/>
        <cfvo type="percentile" val="50"/>
        <cfvo type="max"/>
        <color rgb="FF63BE7B"/>
        <color rgb="FFFFEB84"/>
        <color rgb="FFF8696B"/>
      </colorScale>
    </cfRule>
  </conditionalFormatting>
  <conditionalFormatting sqref="AR22:AR24">
    <cfRule type="colorScale" priority="120">
      <colorScale>
        <cfvo type="min"/>
        <cfvo type="percentile" val="50"/>
        <cfvo type="max"/>
        <color rgb="FF63BE7B"/>
        <color rgb="FFFFEB84"/>
        <color rgb="FFF8696B"/>
      </colorScale>
    </cfRule>
  </conditionalFormatting>
  <conditionalFormatting sqref="AS17">
    <cfRule type="colorScale" priority="119">
      <colorScale>
        <cfvo type="min"/>
        <cfvo type="percentile" val="50"/>
        <cfvo type="max"/>
        <color rgb="FF63BE7B"/>
        <color rgb="FFFFEB84"/>
        <color rgb="FFF8696B"/>
      </colorScale>
    </cfRule>
  </conditionalFormatting>
  <conditionalFormatting sqref="AS18">
    <cfRule type="colorScale" priority="118">
      <colorScale>
        <cfvo type="min"/>
        <cfvo type="percentile" val="50"/>
        <cfvo type="max"/>
        <color rgb="FF63BE7B"/>
        <color rgb="FFFFEB84"/>
        <color rgb="FFF8696B"/>
      </colorScale>
    </cfRule>
  </conditionalFormatting>
  <conditionalFormatting sqref="AS21">
    <cfRule type="colorScale" priority="117">
      <colorScale>
        <cfvo type="min"/>
        <cfvo type="percentile" val="50"/>
        <cfvo type="max"/>
        <color rgb="FF63BE7B"/>
        <color rgb="FFFFEB84"/>
        <color rgb="FFF8696B"/>
      </colorScale>
    </cfRule>
  </conditionalFormatting>
  <conditionalFormatting sqref="AS22:AS24">
    <cfRule type="colorScale" priority="116">
      <colorScale>
        <cfvo type="min"/>
        <cfvo type="percentile" val="50"/>
        <cfvo type="max"/>
        <color rgb="FF63BE7B"/>
        <color rgb="FFFFEB84"/>
        <color rgb="FFF8696B"/>
      </colorScale>
    </cfRule>
  </conditionalFormatting>
  <conditionalFormatting sqref="D22:E23 D25:E25 F22:F25 G22:I23 J22:BA25 K21:BA21">
    <cfRule type="colorScale" priority="115">
      <colorScale>
        <cfvo type="formula" val="0"/>
        <cfvo type="formula" val="1"/>
        <color rgb="FF92D050"/>
        <color rgb="FFFF0000"/>
      </colorScale>
    </cfRule>
  </conditionalFormatting>
  <conditionalFormatting sqref="D22:AG22">
    <cfRule type="colorScale" priority="114">
      <colorScale>
        <cfvo type="min"/>
        <cfvo type="percentile" val="50"/>
        <cfvo type="max"/>
        <color rgb="FF63BE7B"/>
        <color rgb="FFFFEB84"/>
        <color rgb="FFF8696B"/>
      </colorScale>
    </cfRule>
  </conditionalFormatting>
  <conditionalFormatting sqref="AH22">
    <cfRule type="colorScale" priority="113">
      <colorScale>
        <cfvo type="min"/>
        <cfvo type="percentile" val="50"/>
        <cfvo type="max"/>
        <color rgb="FF63BE7B"/>
        <color rgb="FFFFEB84"/>
        <color rgb="FFF8696B"/>
      </colorScale>
    </cfRule>
  </conditionalFormatting>
  <conditionalFormatting sqref="AI22">
    <cfRule type="colorScale" priority="112">
      <colorScale>
        <cfvo type="min"/>
        <cfvo type="percentile" val="50"/>
        <cfvo type="max"/>
        <color rgb="FF63BE7B"/>
        <color rgb="FFFFEB84"/>
        <color rgb="FFF8696B"/>
      </colorScale>
    </cfRule>
  </conditionalFormatting>
  <conditionalFormatting sqref="AJ22">
    <cfRule type="colorScale" priority="111">
      <colorScale>
        <cfvo type="min"/>
        <cfvo type="percentile" val="50"/>
        <cfvo type="max"/>
        <color rgb="FF63BE7B"/>
        <color rgb="FFFFEB84"/>
        <color rgb="FFF8696B"/>
      </colorScale>
    </cfRule>
  </conditionalFormatting>
  <conditionalFormatting sqref="AK22">
    <cfRule type="colorScale" priority="110">
      <colorScale>
        <cfvo type="min"/>
        <cfvo type="percentile" val="50"/>
        <cfvo type="max"/>
        <color rgb="FF63BE7B"/>
        <color rgb="FFFFEB84"/>
        <color rgb="FFF8696B"/>
      </colorScale>
    </cfRule>
  </conditionalFormatting>
  <conditionalFormatting sqref="AL22">
    <cfRule type="colorScale" priority="109">
      <colorScale>
        <cfvo type="min"/>
        <cfvo type="percentile" val="50"/>
        <cfvo type="max"/>
        <color rgb="FF63BE7B"/>
        <color rgb="FFFFEB84"/>
        <color rgb="FFF8696B"/>
      </colorScale>
    </cfRule>
  </conditionalFormatting>
  <conditionalFormatting sqref="AM22">
    <cfRule type="colorScale" priority="108">
      <colorScale>
        <cfvo type="min"/>
        <cfvo type="percentile" val="50"/>
        <cfvo type="max"/>
        <color rgb="FF63BE7B"/>
        <color rgb="FFFFEB84"/>
        <color rgb="FFF8696B"/>
      </colorScale>
    </cfRule>
  </conditionalFormatting>
  <conditionalFormatting sqref="AN22">
    <cfRule type="colorScale" priority="107">
      <colorScale>
        <cfvo type="min"/>
        <cfvo type="percentile" val="50"/>
        <cfvo type="max"/>
        <color rgb="FF63BE7B"/>
        <color rgb="FFFFEB84"/>
        <color rgb="FFF8696B"/>
      </colorScale>
    </cfRule>
  </conditionalFormatting>
  <conditionalFormatting sqref="AO22">
    <cfRule type="colorScale" priority="106">
      <colorScale>
        <cfvo type="min"/>
        <cfvo type="percentile" val="50"/>
        <cfvo type="max"/>
        <color rgb="FF63BE7B"/>
        <color rgb="FFFFEB84"/>
        <color rgb="FFF8696B"/>
      </colorScale>
    </cfRule>
  </conditionalFormatting>
  <conditionalFormatting sqref="AP22">
    <cfRule type="colorScale" priority="105">
      <colorScale>
        <cfvo type="min"/>
        <cfvo type="percentile" val="50"/>
        <cfvo type="max"/>
        <color rgb="FF63BE7B"/>
        <color rgb="FFFFEB84"/>
        <color rgb="FFF8696B"/>
      </colorScale>
    </cfRule>
  </conditionalFormatting>
  <conditionalFormatting sqref="AQ22">
    <cfRule type="colorScale" priority="104">
      <colorScale>
        <cfvo type="min"/>
        <cfvo type="percentile" val="50"/>
        <cfvo type="max"/>
        <color rgb="FF63BE7B"/>
        <color rgb="FFFFEB84"/>
        <color rgb="FFF8696B"/>
      </colorScale>
    </cfRule>
  </conditionalFormatting>
  <conditionalFormatting sqref="AR22">
    <cfRule type="colorScale" priority="103">
      <colorScale>
        <cfvo type="min"/>
        <cfvo type="percentile" val="50"/>
        <cfvo type="max"/>
        <color rgb="FF63BE7B"/>
        <color rgb="FFFFEB84"/>
        <color rgb="FFF8696B"/>
      </colorScale>
    </cfRule>
  </conditionalFormatting>
  <conditionalFormatting sqref="AS22">
    <cfRule type="colorScale" priority="102">
      <colorScale>
        <cfvo type="min"/>
        <cfvo type="percentile" val="50"/>
        <cfvo type="max"/>
        <color rgb="FF63BE7B"/>
        <color rgb="FFFFEB84"/>
        <color rgb="FFF8696B"/>
      </colorScale>
    </cfRule>
  </conditionalFormatting>
  <conditionalFormatting sqref="D23:AG23">
    <cfRule type="colorScale" priority="101">
      <colorScale>
        <cfvo type="min"/>
        <cfvo type="percentile" val="50"/>
        <cfvo type="max"/>
        <color rgb="FF63BE7B"/>
        <color rgb="FFFFEB84"/>
        <color rgb="FFF8696B"/>
      </colorScale>
    </cfRule>
  </conditionalFormatting>
  <conditionalFormatting sqref="AH23">
    <cfRule type="colorScale" priority="100">
      <colorScale>
        <cfvo type="min"/>
        <cfvo type="percentile" val="50"/>
        <cfvo type="max"/>
        <color rgb="FF63BE7B"/>
        <color rgb="FFFFEB84"/>
        <color rgb="FFF8696B"/>
      </colorScale>
    </cfRule>
  </conditionalFormatting>
  <conditionalFormatting sqref="AI23">
    <cfRule type="colorScale" priority="99">
      <colorScale>
        <cfvo type="min"/>
        <cfvo type="percentile" val="50"/>
        <cfvo type="max"/>
        <color rgb="FF63BE7B"/>
        <color rgb="FFFFEB84"/>
        <color rgb="FFF8696B"/>
      </colorScale>
    </cfRule>
  </conditionalFormatting>
  <conditionalFormatting sqref="AJ23">
    <cfRule type="colorScale" priority="98">
      <colorScale>
        <cfvo type="min"/>
        <cfvo type="percentile" val="50"/>
        <cfvo type="max"/>
        <color rgb="FF63BE7B"/>
        <color rgb="FFFFEB84"/>
        <color rgb="FFF8696B"/>
      </colorScale>
    </cfRule>
  </conditionalFormatting>
  <conditionalFormatting sqref="AK23">
    <cfRule type="colorScale" priority="97">
      <colorScale>
        <cfvo type="min"/>
        <cfvo type="percentile" val="50"/>
        <cfvo type="max"/>
        <color rgb="FF63BE7B"/>
        <color rgb="FFFFEB84"/>
        <color rgb="FFF8696B"/>
      </colorScale>
    </cfRule>
  </conditionalFormatting>
  <conditionalFormatting sqref="AL23">
    <cfRule type="colorScale" priority="96">
      <colorScale>
        <cfvo type="min"/>
        <cfvo type="percentile" val="50"/>
        <cfvo type="max"/>
        <color rgb="FF63BE7B"/>
        <color rgb="FFFFEB84"/>
        <color rgb="FFF8696B"/>
      </colorScale>
    </cfRule>
  </conditionalFormatting>
  <conditionalFormatting sqref="AM23">
    <cfRule type="colorScale" priority="95">
      <colorScale>
        <cfvo type="min"/>
        <cfvo type="percentile" val="50"/>
        <cfvo type="max"/>
        <color rgb="FF63BE7B"/>
        <color rgb="FFFFEB84"/>
        <color rgb="FFF8696B"/>
      </colorScale>
    </cfRule>
  </conditionalFormatting>
  <conditionalFormatting sqref="AN23">
    <cfRule type="colorScale" priority="94">
      <colorScale>
        <cfvo type="min"/>
        <cfvo type="percentile" val="50"/>
        <cfvo type="max"/>
        <color rgb="FF63BE7B"/>
        <color rgb="FFFFEB84"/>
        <color rgb="FFF8696B"/>
      </colorScale>
    </cfRule>
  </conditionalFormatting>
  <conditionalFormatting sqref="AO23">
    <cfRule type="colorScale" priority="93">
      <colorScale>
        <cfvo type="min"/>
        <cfvo type="percentile" val="50"/>
        <cfvo type="max"/>
        <color rgb="FF63BE7B"/>
        <color rgb="FFFFEB84"/>
        <color rgb="FFF8696B"/>
      </colorScale>
    </cfRule>
  </conditionalFormatting>
  <conditionalFormatting sqref="AP23">
    <cfRule type="colorScale" priority="92">
      <colorScale>
        <cfvo type="min"/>
        <cfvo type="percentile" val="50"/>
        <cfvo type="max"/>
        <color rgb="FF63BE7B"/>
        <color rgb="FFFFEB84"/>
        <color rgb="FFF8696B"/>
      </colorScale>
    </cfRule>
  </conditionalFormatting>
  <conditionalFormatting sqref="AQ23">
    <cfRule type="colorScale" priority="91">
      <colorScale>
        <cfvo type="min"/>
        <cfvo type="percentile" val="50"/>
        <cfvo type="max"/>
        <color rgb="FF63BE7B"/>
        <color rgb="FFFFEB84"/>
        <color rgb="FFF8696B"/>
      </colorScale>
    </cfRule>
  </conditionalFormatting>
  <conditionalFormatting sqref="AR23">
    <cfRule type="colorScale" priority="90">
      <colorScale>
        <cfvo type="min"/>
        <cfvo type="percentile" val="50"/>
        <cfvo type="max"/>
        <color rgb="FF63BE7B"/>
        <color rgb="FFFFEB84"/>
        <color rgb="FFF8696B"/>
      </colorScale>
    </cfRule>
  </conditionalFormatting>
  <conditionalFormatting sqref="AS23">
    <cfRule type="colorScale" priority="89">
      <colorScale>
        <cfvo type="min"/>
        <cfvo type="percentile" val="50"/>
        <cfvo type="max"/>
        <color rgb="FF63BE7B"/>
        <color rgb="FFFFEB84"/>
        <color rgb="FFF8696B"/>
      </colorScale>
    </cfRule>
  </conditionalFormatting>
  <conditionalFormatting sqref="J24:AG24 F24">
    <cfRule type="colorScale" priority="88">
      <colorScale>
        <cfvo type="min"/>
        <cfvo type="percentile" val="50"/>
        <cfvo type="max"/>
        <color rgb="FF63BE7B"/>
        <color rgb="FFFFEB84"/>
        <color rgb="FFF8696B"/>
      </colorScale>
    </cfRule>
  </conditionalFormatting>
  <conditionalFormatting sqref="AH24">
    <cfRule type="colorScale" priority="87">
      <colorScale>
        <cfvo type="min"/>
        <cfvo type="percentile" val="50"/>
        <cfvo type="max"/>
        <color rgb="FF63BE7B"/>
        <color rgb="FFFFEB84"/>
        <color rgb="FFF8696B"/>
      </colorScale>
    </cfRule>
  </conditionalFormatting>
  <conditionalFormatting sqref="AI24">
    <cfRule type="colorScale" priority="86">
      <colorScale>
        <cfvo type="min"/>
        <cfvo type="percentile" val="50"/>
        <cfvo type="max"/>
        <color rgb="FF63BE7B"/>
        <color rgb="FFFFEB84"/>
        <color rgb="FFF8696B"/>
      </colorScale>
    </cfRule>
  </conditionalFormatting>
  <conditionalFormatting sqref="AJ24">
    <cfRule type="colorScale" priority="85">
      <colorScale>
        <cfvo type="min"/>
        <cfvo type="percentile" val="50"/>
        <cfvo type="max"/>
        <color rgb="FF63BE7B"/>
        <color rgb="FFFFEB84"/>
        <color rgb="FFF8696B"/>
      </colorScale>
    </cfRule>
  </conditionalFormatting>
  <conditionalFormatting sqref="AK24">
    <cfRule type="colorScale" priority="84">
      <colorScale>
        <cfvo type="min"/>
        <cfvo type="percentile" val="50"/>
        <cfvo type="max"/>
        <color rgb="FF63BE7B"/>
        <color rgb="FFFFEB84"/>
        <color rgb="FFF8696B"/>
      </colorScale>
    </cfRule>
  </conditionalFormatting>
  <conditionalFormatting sqref="AL24">
    <cfRule type="colorScale" priority="83">
      <colorScale>
        <cfvo type="min"/>
        <cfvo type="percentile" val="50"/>
        <cfvo type="max"/>
        <color rgb="FF63BE7B"/>
        <color rgb="FFFFEB84"/>
        <color rgb="FFF8696B"/>
      </colorScale>
    </cfRule>
  </conditionalFormatting>
  <conditionalFormatting sqref="AM24">
    <cfRule type="colorScale" priority="82">
      <colorScale>
        <cfvo type="min"/>
        <cfvo type="percentile" val="50"/>
        <cfvo type="max"/>
        <color rgb="FF63BE7B"/>
        <color rgb="FFFFEB84"/>
        <color rgb="FFF8696B"/>
      </colorScale>
    </cfRule>
  </conditionalFormatting>
  <conditionalFormatting sqref="AN24">
    <cfRule type="colorScale" priority="81">
      <colorScale>
        <cfvo type="min"/>
        <cfvo type="percentile" val="50"/>
        <cfvo type="max"/>
        <color rgb="FF63BE7B"/>
        <color rgb="FFFFEB84"/>
        <color rgb="FFF8696B"/>
      </colorScale>
    </cfRule>
  </conditionalFormatting>
  <conditionalFormatting sqref="AO24">
    <cfRule type="colorScale" priority="80">
      <colorScale>
        <cfvo type="min"/>
        <cfvo type="percentile" val="50"/>
        <cfvo type="max"/>
        <color rgb="FF63BE7B"/>
        <color rgb="FFFFEB84"/>
        <color rgb="FFF8696B"/>
      </colorScale>
    </cfRule>
  </conditionalFormatting>
  <conditionalFormatting sqref="AP24">
    <cfRule type="colorScale" priority="79">
      <colorScale>
        <cfvo type="min"/>
        <cfvo type="percentile" val="50"/>
        <cfvo type="max"/>
        <color rgb="FF63BE7B"/>
        <color rgb="FFFFEB84"/>
        <color rgb="FFF8696B"/>
      </colorScale>
    </cfRule>
  </conditionalFormatting>
  <conditionalFormatting sqref="AQ24">
    <cfRule type="colorScale" priority="78">
      <colorScale>
        <cfvo type="min"/>
        <cfvo type="percentile" val="50"/>
        <cfvo type="max"/>
        <color rgb="FF63BE7B"/>
        <color rgb="FFFFEB84"/>
        <color rgb="FFF8696B"/>
      </colorScale>
    </cfRule>
  </conditionalFormatting>
  <conditionalFormatting sqref="AR24">
    <cfRule type="colorScale" priority="77">
      <colorScale>
        <cfvo type="min"/>
        <cfvo type="percentile" val="50"/>
        <cfvo type="max"/>
        <color rgb="FF63BE7B"/>
        <color rgb="FFFFEB84"/>
        <color rgb="FFF8696B"/>
      </colorScale>
    </cfRule>
  </conditionalFormatting>
  <conditionalFormatting sqref="AS24">
    <cfRule type="colorScale" priority="76">
      <colorScale>
        <cfvo type="min"/>
        <cfvo type="percentile" val="50"/>
        <cfvo type="max"/>
        <color rgb="FF63BE7B"/>
        <color rgb="FFFFEB84"/>
        <color rgb="FFF8696B"/>
      </colorScale>
    </cfRule>
  </conditionalFormatting>
  <conditionalFormatting sqref="AT17">
    <cfRule type="colorScale" priority="75">
      <colorScale>
        <cfvo type="min"/>
        <cfvo type="percentile" val="50"/>
        <cfvo type="max"/>
        <color rgb="FF63BE7B"/>
        <color rgb="FFFFEB84"/>
        <color rgb="FFF8696B"/>
      </colorScale>
    </cfRule>
  </conditionalFormatting>
  <conditionalFormatting sqref="AT18">
    <cfRule type="colorScale" priority="74">
      <colorScale>
        <cfvo type="min"/>
        <cfvo type="percentile" val="50"/>
        <cfvo type="max"/>
        <color rgb="FF63BE7B"/>
        <color rgb="FFFFEB84"/>
        <color rgb="FFF8696B"/>
      </colorScale>
    </cfRule>
  </conditionalFormatting>
  <conditionalFormatting sqref="AT21">
    <cfRule type="colorScale" priority="73">
      <colorScale>
        <cfvo type="min"/>
        <cfvo type="percentile" val="50"/>
        <cfvo type="max"/>
        <color rgb="FF63BE7B"/>
        <color rgb="FFFFEB84"/>
        <color rgb="FFF8696B"/>
      </colorScale>
    </cfRule>
  </conditionalFormatting>
  <conditionalFormatting sqref="AT22:AT24">
    <cfRule type="colorScale" priority="72">
      <colorScale>
        <cfvo type="min"/>
        <cfvo type="percentile" val="50"/>
        <cfvo type="max"/>
        <color rgb="FF63BE7B"/>
        <color rgb="FFFFEB84"/>
        <color rgb="FFF8696B"/>
      </colorScale>
    </cfRule>
  </conditionalFormatting>
  <conditionalFormatting sqref="AT22">
    <cfRule type="colorScale" priority="71">
      <colorScale>
        <cfvo type="min"/>
        <cfvo type="percentile" val="50"/>
        <cfvo type="max"/>
        <color rgb="FF63BE7B"/>
        <color rgb="FFFFEB84"/>
        <color rgb="FFF8696B"/>
      </colorScale>
    </cfRule>
  </conditionalFormatting>
  <conditionalFormatting sqref="AT23">
    <cfRule type="colorScale" priority="70">
      <colorScale>
        <cfvo type="min"/>
        <cfvo type="percentile" val="50"/>
        <cfvo type="max"/>
        <color rgb="FF63BE7B"/>
        <color rgb="FFFFEB84"/>
        <color rgb="FFF8696B"/>
      </colorScale>
    </cfRule>
  </conditionalFormatting>
  <conditionalFormatting sqref="AT24">
    <cfRule type="colorScale" priority="69">
      <colorScale>
        <cfvo type="min"/>
        <cfvo type="percentile" val="50"/>
        <cfvo type="max"/>
        <color rgb="FF63BE7B"/>
        <color rgb="FFFFEB84"/>
        <color rgb="FFF8696B"/>
      </colorScale>
    </cfRule>
  </conditionalFormatting>
  <conditionalFormatting sqref="AU17">
    <cfRule type="colorScale" priority="68">
      <colorScale>
        <cfvo type="min"/>
        <cfvo type="percentile" val="50"/>
        <cfvo type="max"/>
        <color rgb="FF63BE7B"/>
        <color rgb="FFFFEB84"/>
        <color rgb="FFF8696B"/>
      </colorScale>
    </cfRule>
  </conditionalFormatting>
  <conditionalFormatting sqref="AU18">
    <cfRule type="colorScale" priority="67">
      <colorScale>
        <cfvo type="min"/>
        <cfvo type="percentile" val="50"/>
        <cfvo type="max"/>
        <color rgb="FF63BE7B"/>
        <color rgb="FFFFEB84"/>
        <color rgb="FFF8696B"/>
      </colorScale>
    </cfRule>
  </conditionalFormatting>
  <conditionalFormatting sqref="AU21">
    <cfRule type="colorScale" priority="66">
      <colorScale>
        <cfvo type="min"/>
        <cfvo type="percentile" val="50"/>
        <cfvo type="max"/>
        <color rgb="FF63BE7B"/>
        <color rgb="FFFFEB84"/>
        <color rgb="FFF8696B"/>
      </colorScale>
    </cfRule>
  </conditionalFormatting>
  <conditionalFormatting sqref="AU22:AU24">
    <cfRule type="colorScale" priority="65">
      <colorScale>
        <cfvo type="min"/>
        <cfvo type="percentile" val="50"/>
        <cfvo type="max"/>
        <color rgb="FF63BE7B"/>
        <color rgb="FFFFEB84"/>
        <color rgb="FFF8696B"/>
      </colorScale>
    </cfRule>
  </conditionalFormatting>
  <conditionalFormatting sqref="AU22">
    <cfRule type="colorScale" priority="64">
      <colorScale>
        <cfvo type="min"/>
        <cfvo type="percentile" val="50"/>
        <cfvo type="max"/>
        <color rgb="FF63BE7B"/>
        <color rgb="FFFFEB84"/>
        <color rgb="FFF8696B"/>
      </colorScale>
    </cfRule>
  </conditionalFormatting>
  <conditionalFormatting sqref="AU23">
    <cfRule type="colorScale" priority="63">
      <colorScale>
        <cfvo type="min"/>
        <cfvo type="percentile" val="50"/>
        <cfvo type="max"/>
        <color rgb="FF63BE7B"/>
        <color rgb="FFFFEB84"/>
        <color rgb="FFF8696B"/>
      </colorScale>
    </cfRule>
  </conditionalFormatting>
  <conditionalFormatting sqref="AU24">
    <cfRule type="colorScale" priority="62">
      <colorScale>
        <cfvo type="min"/>
        <cfvo type="percentile" val="50"/>
        <cfvo type="max"/>
        <color rgb="FF63BE7B"/>
        <color rgb="FFFFEB84"/>
        <color rgb="FFF8696B"/>
      </colorScale>
    </cfRule>
  </conditionalFormatting>
  <conditionalFormatting sqref="AV17">
    <cfRule type="colorScale" priority="61">
      <colorScale>
        <cfvo type="min"/>
        <cfvo type="percentile" val="50"/>
        <cfvo type="max"/>
        <color rgb="FF63BE7B"/>
        <color rgb="FFFFEB84"/>
        <color rgb="FFF8696B"/>
      </colorScale>
    </cfRule>
  </conditionalFormatting>
  <conditionalFormatting sqref="AV18">
    <cfRule type="colorScale" priority="60">
      <colorScale>
        <cfvo type="min"/>
        <cfvo type="percentile" val="50"/>
        <cfvo type="max"/>
        <color rgb="FF63BE7B"/>
        <color rgb="FFFFEB84"/>
        <color rgb="FFF8696B"/>
      </colorScale>
    </cfRule>
  </conditionalFormatting>
  <conditionalFormatting sqref="AV21">
    <cfRule type="colorScale" priority="59">
      <colorScale>
        <cfvo type="min"/>
        <cfvo type="percentile" val="50"/>
        <cfvo type="max"/>
        <color rgb="FF63BE7B"/>
        <color rgb="FFFFEB84"/>
        <color rgb="FFF8696B"/>
      </colorScale>
    </cfRule>
  </conditionalFormatting>
  <conditionalFormatting sqref="AV22:AV24">
    <cfRule type="colorScale" priority="58">
      <colorScale>
        <cfvo type="min"/>
        <cfvo type="percentile" val="50"/>
        <cfvo type="max"/>
        <color rgb="FF63BE7B"/>
        <color rgb="FFFFEB84"/>
        <color rgb="FFF8696B"/>
      </colorScale>
    </cfRule>
  </conditionalFormatting>
  <conditionalFormatting sqref="AV22">
    <cfRule type="colorScale" priority="57">
      <colorScale>
        <cfvo type="min"/>
        <cfvo type="percentile" val="50"/>
        <cfvo type="max"/>
        <color rgb="FF63BE7B"/>
        <color rgb="FFFFEB84"/>
        <color rgb="FFF8696B"/>
      </colorScale>
    </cfRule>
  </conditionalFormatting>
  <conditionalFormatting sqref="AV23">
    <cfRule type="colorScale" priority="56">
      <colorScale>
        <cfvo type="min"/>
        <cfvo type="percentile" val="50"/>
        <cfvo type="max"/>
        <color rgb="FF63BE7B"/>
        <color rgb="FFFFEB84"/>
        <color rgb="FFF8696B"/>
      </colorScale>
    </cfRule>
  </conditionalFormatting>
  <conditionalFormatting sqref="AV24">
    <cfRule type="colorScale" priority="55">
      <colorScale>
        <cfvo type="min"/>
        <cfvo type="percentile" val="50"/>
        <cfvo type="max"/>
        <color rgb="FF63BE7B"/>
        <color rgb="FFFFEB84"/>
        <color rgb="FFF8696B"/>
      </colorScale>
    </cfRule>
  </conditionalFormatting>
  <conditionalFormatting sqref="AW17">
    <cfRule type="colorScale" priority="54">
      <colorScale>
        <cfvo type="min"/>
        <cfvo type="percentile" val="50"/>
        <cfvo type="max"/>
        <color rgb="FF63BE7B"/>
        <color rgb="FFFFEB84"/>
        <color rgb="FFF8696B"/>
      </colorScale>
    </cfRule>
  </conditionalFormatting>
  <conditionalFormatting sqref="AW18">
    <cfRule type="colorScale" priority="53">
      <colorScale>
        <cfvo type="min"/>
        <cfvo type="percentile" val="50"/>
        <cfvo type="max"/>
        <color rgb="FF63BE7B"/>
        <color rgb="FFFFEB84"/>
        <color rgb="FFF8696B"/>
      </colorScale>
    </cfRule>
  </conditionalFormatting>
  <conditionalFormatting sqref="AW21">
    <cfRule type="colorScale" priority="52">
      <colorScale>
        <cfvo type="min"/>
        <cfvo type="percentile" val="50"/>
        <cfvo type="max"/>
        <color rgb="FF63BE7B"/>
        <color rgb="FFFFEB84"/>
        <color rgb="FFF8696B"/>
      </colorScale>
    </cfRule>
  </conditionalFormatting>
  <conditionalFormatting sqref="AW22:AW24">
    <cfRule type="colorScale" priority="51">
      <colorScale>
        <cfvo type="min"/>
        <cfvo type="percentile" val="50"/>
        <cfvo type="max"/>
        <color rgb="FF63BE7B"/>
        <color rgb="FFFFEB84"/>
        <color rgb="FFF8696B"/>
      </colorScale>
    </cfRule>
  </conditionalFormatting>
  <conditionalFormatting sqref="AW22">
    <cfRule type="colorScale" priority="50">
      <colorScale>
        <cfvo type="min"/>
        <cfvo type="percentile" val="50"/>
        <cfvo type="max"/>
        <color rgb="FF63BE7B"/>
        <color rgb="FFFFEB84"/>
        <color rgb="FFF8696B"/>
      </colorScale>
    </cfRule>
  </conditionalFormatting>
  <conditionalFormatting sqref="AW23">
    <cfRule type="colorScale" priority="49">
      <colorScale>
        <cfvo type="min"/>
        <cfvo type="percentile" val="50"/>
        <cfvo type="max"/>
        <color rgb="FF63BE7B"/>
        <color rgb="FFFFEB84"/>
        <color rgb="FFF8696B"/>
      </colorScale>
    </cfRule>
  </conditionalFormatting>
  <conditionalFormatting sqref="AW24">
    <cfRule type="colorScale" priority="48">
      <colorScale>
        <cfvo type="min"/>
        <cfvo type="percentile" val="50"/>
        <cfvo type="max"/>
        <color rgb="FF63BE7B"/>
        <color rgb="FFFFEB84"/>
        <color rgb="FFF8696B"/>
      </colorScale>
    </cfRule>
  </conditionalFormatting>
  <conditionalFormatting sqref="AX17">
    <cfRule type="colorScale" priority="47">
      <colorScale>
        <cfvo type="min"/>
        <cfvo type="percentile" val="50"/>
        <cfvo type="max"/>
        <color rgb="FF63BE7B"/>
        <color rgb="FFFFEB84"/>
        <color rgb="FFF8696B"/>
      </colorScale>
    </cfRule>
  </conditionalFormatting>
  <conditionalFormatting sqref="AX18">
    <cfRule type="colorScale" priority="46">
      <colorScale>
        <cfvo type="min"/>
        <cfvo type="percentile" val="50"/>
        <cfvo type="max"/>
        <color rgb="FF63BE7B"/>
        <color rgb="FFFFEB84"/>
        <color rgb="FFF8696B"/>
      </colorScale>
    </cfRule>
  </conditionalFormatting>
  <conditionalFormatting sqref="AX21">
    <cfRule type="colorScale" priority="45">
      <colorScale>
        <cfvo type="min"/>
        <cfvo type="percentile" val="50"/>
        <cfvo type="max"/>
        <color rgb="FF63BE7B"/>
        <color rgb="FFFFEB84"/>
        <color rgb="FFF8696B"/>
      </colorScale>
    </cfRule>
  </conditionalFormatting>
  <conditionalFormatting sqref="AX22:AX24">
    <cfRule type="colorScale" priority="44">
      <colorScale>
        <cfvo type="min"/>
        <cfvo type="percentile" val="50"/>
        <cfvo type="max"/>
        <color rgb="FF63BE7B"/>
        <color rgb="FFFFEB84"/>
        <color rgb="FFF8696B"/>
      </colorScale>
    </cfRule>
  </conditionalFormatting>
  <conditionalFormatting sqref="AX22">
    <cfRule type="colorScale" priority="43">
      <colorScale>
        <cfvo type="min"/>
        <cfvo type="percentile" val="50"/>
        <cfvo type="max"/>
        <color rgb="FF63BE7B"/>
        <color rgb="FFFFEB84"/>
        <color rgb="FFF8696B"/>
      </colorScale>
    </cfRule>
  </conditionalFormatting>
  <conditionalFormatting sqref="AX23">
    <cfRule type="colorScale" priority="42">
      <colorScale>
        <cfvo type="min"/>
        <cfvo type="percentile" val="50"/>
        <cfvo type="max"/>
        <color rgb="FF63BE7B"/>
        <color rgb="FFFFEB84"/>
        <color rgb="FFF8696B"/>
      </colorScale>
    </cfRule>
  </conditionalFormatting>
  <conditionalFormatting sqref="AX24">
    <cfRule type="colorScale" priority="41">
      <colorScale>
        <cfvo type="min"/>
        <cfvo type="percentile" val="50"/>
        <cfvo type="max"/>
        <color rgb="FF63BE7B"/>
        <color rgb="FFFFEB84"/>
        <color rgb="FFF8696B"/>
      </colorScale>
    </cfRule>
  </conditionalFormatting>
  <conditionalFormatting sqref="AY17">
    <cfRule type="colorScale" priority="40">
      <colorScale>
        <cfvo type="min"/>
        <cfvo type="percentile" val="50"/>
        <cfvo type="max"/>
        <color rgb="FF63BE7B"/>
        <color rgb="FFFFEB84"/>
        <color rgb="FFF8696B"/>
      </colorScale>
    </cfRule>
  </conditionalFormatting>
  <conditionalFormatting sqref="AY18">
    <cfRule type="colorScale" priority="39">
      <colorScale>
        <cfvo type="min"/>
        <cfvo type="percentile" val="50"/>
        <cfvo type="max"/>
        <color rgb="FF63BE7B"/>
        <color rgb="FFFFEB84"/>
        <color rgb="FFF8696B"/>
      </colorScale>
    </cfRule>
  </conditionalFormatting>
  <conditionalFormatting sqref="AY21">
    <cfRule type="colorScale" priority="38">
      <colorScale>
        <cfvo type="min"/>
        <cfvo type="percentile" val="50"/>
        <cfvo type="max"/>
        <color rgb="FF63BE7B"/>
        <color rgb="FFFFEB84"/>
        <color rgb="FFF8696B"/>
      </colorScale>
    </cfRule>
  </conditionalFormatting>
  <conditionalFormatting sqref="AY22:AY24">
    <cfRule type="colorScale" priority="37">
      <colorScale>
        <cfvo type="min"/>
        <cfvo type="percentile" val="50"/>
        <cfvo type="max"/>
        <color rgb="FF63BE7B"/>
        <color rgb="FFFFEB84"/>
        <color rgb="FFF8696B"/>
      </colorScale>
    </cfRule>
  </conditionalFormatting>
  <conditionalFormatting sqref="AY22">
    <cfRule type="colorScale" priority="36">
      <colorScale>
        <cfvo type="min"/>
        <cfvo type="percentile" val="50"/>
        <cfvo type="max"/>
        <color rgb="FF63BE7B"/>
        <color rgb="FFFFEB84"/>
        <color rgb="FFF8696B"/>
      </colorScale>
    </cfRule>
  </conditionalFormatting>
  <conditionalFormatting sqref="AY23">
    <cfRule type="colorScale" priority="35">
      <colorScale>
        <cfvo type="min"/>
        <cfvo type="percentile" val="50"/>
        <cfvo type="max"/>
        <color rgb="FF63BE7B"/>
        <color rgb="FFFFEB84"/>
        <color rgb="FFF8696B"/>
      </colorScale>
    </cfRule>
  </conditionalFormatting>
  <conditionalFormatting sqref="AY24">
    <cfRule type="colorScale" priority="34">
      <colorScale>
        <cfvo type="min"/>
        <cfvo type="percentile" val="50"/>
        <cfvo type="max"/>
        <color rgb="FF63BE7B"/>
        <color rgb="FFFFEB84"/>
        <color rgb="FFF8696B"/>
      </colorScale>
    </cfRule>
  </conditionalFormatting>
  <conditionalFormatting sqref="AZ17">
    <cfRule type="colorScale" priority="33">
      <colorScale>
        <cfvo type="min"/>
        <cfvo type="percentile" val="50"/>
        <cfvo type="max"/>
        <color rgb="FF63BE7B"/>
        <color rgb="FFFFEB84"/>
        <color rgb="FFF8696B"/>
      </colorScale>
    </cfRule>
  </conditionalFormatting>
  <conditionalFormatting sqref="AZ18">
    <cfRule type="colorScale" priority="32">
      <colorScale>
        <cfvo type="min"/>
        <cfvo type="percentile" val="50"/>
        <cfvo type="max"/>
        <color rgb="FF63BE7B"/>
        <color rgb="FFFFEB84"/>
        <color rgb="FFF8696B"/>
      </colorScale>
    </cfRule>
  </conditionalFormatting>
  <conditionalFormatting sqref="AZ21">
    <cfRule type="colorScale" priority="31">
      <colorScale>
        <cfvo type="min"/>
        <cfvo type="percentile" val="50"/>
        <cfvo type="max"/>
        <color rgb="FF63BE7B"/>
        <color rgb="FFFFEB84"/>
        <color rgb="FFF8696B"/>
      </colorScale>
    </cfRule>
  </conditionalFormatting>
  <conditionalFormatting sqref="AZ22:AZ24">
    <cfRule type="colorScale" priority="30">
      <colorScale>
        <cfvo type="min"/>
        <cfvo type="percentile" val="50"/>
        <cfvo type="max"/>
        <color rgb="FF63BE7B"/>
        <color rgb="FFFFEB84"/>
        <color rgb="FFF8696B"/>
      </colorScale>
    </cfRule>
  </conditionalFormatting>
  <conditionalFormatting sqref="AZ22">
    <cfRule type="colorScale" priority="29">
      <colorScale>
        <cfvo type="min"/>
        <cfvo type="percentile" val="50"/>
        <cfvo type="max"/>
        <color rgb="FF63BE7B"/>
        <color rgb="FFFFEB84"/>
        <color rgb="FFF8696B"/>
      </colorScale>
    </cfRule>
  </conditionalFormatting>
  <conditionalFormatting sqref="AZ23">
    <cfRule type="colorScale" priority="28">
      <colorScale>
        <cfvo type="min"/>
        <cfvo type="percentile" val="50"/>
        <cfvo type="max"/>
        <color rgb="FF63BE7B"/>
        <color rgb="FFFFEB84"/>
        <color rgb="FFF8696B"/>
      </colorScale>
    </cfRule>
  </conditionalFormatting>
  <conditionalFormatting sqref="AZ24">
    <cfRule type="colorScale" priority="27">
      <colorScale>
        <cfvo type="min"/>
        <cfvo type="percentile" val="50"/>
        <cfvo type="max"/>
        <color rgb="FF63BE7B"/>
        <color rgb="FFFFEB84"/>
        <color rgb="FFF8696B"/>
      </colorScale>
    </cfRule>
  </conditionalFormatting>
  <conditionalFormatting sqref="BA17">
    <cfRule type="colorScale" priority="26">
      <colorScale>
        <cfvo type="min"/>
        <cfvo type="percentile" val="50"/>
        <cfvo type="max"/>
        <color rgb="FF63BE7B"/>
        <color rgb="FFFFEB84"/>
        <color rgb="FFF8696B"/>
      </colorScale>
    </cfRule>
  </conditionalFormatting>
  <conditionalFormatting sqref="BA18">
    <cfRule type="colorScale" priority="25">
      <colorScale>
        <cfvo type="min"/>
        <cfvo type="percentile" val="50"/>
        <cfvo type="max"/>
        <color rgb="FF63BE7B"/>
        <color rgb="FFFFEB84"/>
        <color rgb="FFF8696B"/>
      </colorScale>
    </cfRule>
  </conditionalFormatting>
  <conditionalFormatting sqref="BA21">
    <cfRule type="colorScale" priority="24">
      <colorScale>
        <cfvo type="min"/>
        <cfvo type="percentile" val="50"/>
        <cfvo type="max"/>
        <color rgb="FF63BE7B"/>
        <color rgb="FFFFEB84"/>
        <color rgb="FFF8696B"/>
      </colorScale>
    </cfRule>
  </conditionalFormatting>
  <conditionalFormatting sqref="BA22:BA24">
    <cfRule type="colorScale" priority="23">
      <colorScale>
        <cfvo type="min"/>
        <cfvo type="percentile" val="50"/>
        <cfvo type="max"/>
        <color rgb="FF63BE7B"/>
        <color rgb="FFFFEB84"/>
        <color rgb="FFF8696B"/>
      </colorScale>
    </cfRule>
  </conditionalFormatting>
  <conditionalFormatting sqref="BA22">
    <cfRule type="colorScale" priority="22">
      <colorScale>
        <cfvo type="min"/>
        <cfvo type="percentile" val="50"/>
        <cfvo type="max"/>
        <color rgb="FF63BE7B"/>
        <color rgb="FFFFEB84"/>
        <color rgb="FFF8696B"/>
      </colorScale>
    </cfRule>
  </conditionalFormatting>
  <conditionalFormatting sqref="BA23">
    <cfRule type="colorScale" priority="21">
      <colorScale>
        <cfvo type="min"/>
        <cfvo type="percentile" val="50"/>
        <cfvo type="max"/>
        <color rgb="FF63BE7B"/>
        <color rgb="FFFFEB84"/>
        <color rgb="FFF8696B"/>
      </colorScale>
    </cfRule>
  </conditionalFormatting>
  <conditionalFormatting sqref="BA24">
    <cfRule type="colorScale" priority="20">
      <colorScale>
        <cfvo type="min"/>
        <cfvo type="percentile" val="50"/>
        <cfvo type="max"/>
        <color rgb="FF63BE7B"/>
        <color rgb="FFFFEB84"/>
        <color rgb="FFF8696B"/>
      </colorScale>
    </cfRule>
  </conditionalFormatting>
  <conditionalFormatting sqref="D6">
    <cfRule type="cellIs" dxfId="1" priority="19" stopIfTrue="1" operator="lessThan">
      <formula>0</formula>
    </cfRule>
  </conditionalFormatting>
  <conditionalFormatting sqref="I10:K15">
    <cfRule type="colorScale" priority="17">
      <colorScale>
        <cfvo type="min"/>
        <cfvo type="percentile" val="50"/>
        <cfvo type="max"/>
        <color rgb="FF63BE7B"/>
        <color rgb="FFFFEB84"/>
        <color rgb="FFF8696B"/>
      </colorScale>
    </cfRule>
  </conditionalFormatting>
  <conditionalFormatting sqref="U10:W15">
    <cfRule type="colorScale" priority="12">
      <colorScale>
        <cfvo type="min"/>
        <cfvo type="percentile" val="50"/>
        <cfvo type="max"/>
        <color rgb="FF63BE7B"/>
        <color rgb="FFFFEB84"/>
        <color rgb="FFF8696B"/>
      </colorScale>
    </cfRule>
  </conditionalFormatting>
  <conditionalFormatting sqref="U11:U15 V10:W15">
    <cfRule type="colorScale" priority="11">
      <colorScale>
        <cfvo type="min"/>
        <cfvo type="percentile" val="50"/>
        <cfvo type="max"/>
        <color rgb="FF63BE7B"/>
        <color rgb="FFFFEB84"/>
        <color rgb="FFF8696B"/>
      </colorScale>
    </cfRule>
  </conditionalFormatting>
  <conditionalFormatting sqref="U10:U15">
    <cfRule type="colorScale" priority="10">
      <colorScale>
        <cfvo type="min"/>
        <cfvo type="percentile" val="50"/>
        <cfvo type="max"/>
        <color rgb="FF63BE7B"/>
        <color rgb="FFFFEB84"/>
        <color rgb="FFF8696B"/>
      </colorScale>
    </cfRule>
  </conditionalFormatting>
  <conditionalFormatting sqref="J10:K15">
    <cfRule type="colorScale" priority="9">
      <colorScale>
        <cfvo type="min"/>
        <cfvo type="percentile" val="50"/>
        <cfvo type="max"/>
        <color rgb="FFF8696B"/>
        <color rgb="FFFFEB84"/>
        <color rgb="FF63BE7B"/>
      </colorScale>
    </cfRule>
  </conditionalFormatting>
  <conditionalFormatting sqref="F17:I20">
    <cfRule type="colorScale" priority="6">
      <colorScale>
        <cfvo type="num" val="0"/>
        <cfvo type="num" val="1"/>
        <color rgb="FF00B050"/>
        <color rgb="FFFF0000"/>
      </colorScale>
    </cfRule>
  </conditionalFormatting>
  <conditionalFormatting sqref="C48:C53">
    <cfRule type="cellIs" dxfId="0" priority="4" stopIfTrue="1" operator="lessThan">
      <formula>0</formula>
    </cfRule>
  </conditionalFormatting>
  <conditionalFormatting sqref="F17:I20">
    <cfRule type="colorScale" priority="177">
      <colorScale>
        <cfvo type="min"/>
        <cfvo type="percentile" val="50"/>
        <cfvo type="max"/>
        <color rgb="FF63BE7B"/>
        <color rgb="FFFFEB84"/>
        <color rgb="FFF8696B"/>
      </colorScale>
    </cfRule>
  </conditionalFormatting>
  <conditionalFormatting sqref="D5 D7">
    <cfRule type="colorScale" priority="184">
      <colorScale>
        <cfvo type="min"/>
        <cfvo type="percentile" val="50"/>
        <cfvo type="max"/>
        <color rgb="FF63BE7B"/>
        <color rgb="FFFFEB84"/>
        <color rgb="FFF8696B"/>
      </colorScale>
    </cfRule>
  </conditionalFormatting>
  <conditionalFormatting sqref="D48:D53">
    <cfRule type="colorScale" priority="185">
      <colorScale>
        <cfvo type="min"/>
        <cfvo type="percentile" val="50"/>
        <cfvo type="max"/>
        <color rgb="FF63BE7B"/>
        <color rgb="FFFFEB84"/>
        <color rgb="FFF8696B"/>
      </colorScale>
    </cfRule>
  </conditionalFormatting>
  <dataValidations count="2">
    <dataValidation allowBlank="1" showInputMessage="1" showErrorMessage="1" prompt="Please be aware that this figures overstates the effect as it assumes that all banks loose funding at the same time" sqref="D18"/>
    <dataValidation allowBlank="1" showInputMessage="1" showErrorMessage="1" prompt="Number of banks that fail solvency test due to funding shock_x000a_" sqref="E9"/>
  </dataValidations>
  <pageMargins left="5.7421874999999997E-2" right="0.70866141732283472" top="0.74803149606299213" bottom="0.74803149606299213" header="0.31496062992125984" footer="0.31496062992125984"/>
  <pageSetup scale="63" fitToHeight="0" orientation="landscape" r:id="rId1"/>
  <headerFooter>
    <oddHeader xml:space="preserve">&amp;C© Islamic Financial Services Board 2017. 
This document is part of TN-2 (Technical Note on Stress Testing for Institutions offering Financial Services), December 2016. </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1-Method_Liqudity</vt:lpstr>
      <vt:lpstr>2-Input - IIFS Liqudity</vt:lpstr>
      <vt:lpstr>3-Assumptions</vt:lpstr>
      <vt:lpstr>4- ICFA &amp; LCR &amp; MMA &amp; NSFR</vt:lpstr>
      <vt:lpstr>5-Calculation</vt:lpstr>
      <vt:lpstr>6-Summary</vt:lpstr>
      <vt:lpstr>'1-Method_Liqudity'!Print_Area</vt:lpstr>
      <vt:lpstr>'2-Input - IIFS Liqudity'!Print_Area</vt:lpstr>
      <vt:lpstr>'3-Assumptions'!Print_Area</vt:lpstr>
      <vt:lpstr>'4- ICFA &amp; LCR &amp; MMA &amp; NSFR'!Print_Area</vt:lpstr>
      <vt:lpstr>'5-Calculation'!Print_Area</vt:lpstr>
      <vt:lpstr>'6-Summary'!Print_Area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Liquidity Stress Test for IIFS</dc:title>
  <dc:creator/>
  <cp:lastModifiedBy/>
  <dcterms:created xsi:type="dcterms:W3CDTF">2006-09-16T00:00:00Z</dcterms:created>
  <dcterms:modified xsi:type="dcterms:W3CDTF">2017-01-27T07:56:54Z</dcterms:modified>
</cp:coreProperties>
</file>