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workbookProtection workbookAlgorithmName="SHA-512" workbookHashValue="u0FYe8W6xAGIDSNDadzDHD/Q+avU8bC5t8uXciJWPdvAMcZioO4HlSLtBZ//W7ixMx+/kp0rbrTXNcGg7o6Z+Q==" workbookSaltValue="hU7drenWn7M3fXh/OdQ75w==" workbookSpinCount="100000" lockStructure="1"/>
  <bookViews>
    <workbookView xWindow="0" yWindow="0" windowWidth="15360" windowHeight="7755" tabRatio="892" activeTab="5"/>
  </bookViews>
  <sheets>
    <sheet name="1-Method_Liqudity" sheetId="15" r:id="rId1"/>
    <sheet name="2-Input - IIFS Liqudity" sheetId="7" r:id="rId2"/>
    <sheet name="3-Assumptions" sheetId="11" r:id="rId3"/>
    <sheet name="4- ICFA &amp; LCR&amp; MMA&amp;NSFR" sheetId="9" r:id="rId4"/>
    <sheet name="5-Calculation" sheetId="13" r:id="rId5"/>
    <sheet name="6-Summary" sheetId="12" r:id="rId6"/>
  </sheets>
  <externalReferences>
    <externalReference r:id="rId7"/>
    <externalReference r:id="rId8"/>
    <externalReference r:id="rId9"/>
  </externalReferences>
  <definedNames>
    <definedName name="_xlnm._FilterDatabase" localSheetId="1" hidden="1">'2-Input - IIFS Liqudity'!$A$1:$M$209</definedName>
    <definedName name="_ftn1" localSheetId="1">'2-Input - IIFS Liqudity'!$E$77</definedName>
    <definedName name="_ftnref1" localSheetId="1">'2-Input - IIFS Liqudity'!$E$74</definedName>
    <definedName name="Dropdown_Boolean" localSheetId="0">[1]Variables!$C$40:$D$40</definedName>
    <definedName name="Dropdown_Boolean" localSheetId="2">[2]Variables!$C$40:$D$40</definedName>
    <definedName name="Dropdown_Boolean" localSheetId="3">[2]Variables!$C$40:$D$40</definedName>
    <definedName name="Dropdown_Boolean" localSheetId="4">[2]Variables!$C$40:$D$40</definedName>
    <definedName name="Dropdown_Boolean" localSheetId="5">[2]Variables!$C$40:$D$40</definedName>
    <definedName name="Dropdown_Boolean">'[3]3-Variables'!$C$40:$D$40</definedName>
  </definedNames>
  <calcPr calcId="152511"/>
</workbook>
</file>

<file path=xl/calcChain.xml><?xml version="1.0" encoding="utf-8"?>
<calcChain xmlns="http://schemas.openxmlformats.org/spreadsheetml/2006/main">
  <c r="A72" i="11" l="1"/>
  <c r="D263" i="7"/>
  <c r="A93" i="11" l="1"/>
  <c r="A90" i="11" l="1"/>
  <c r="D209" i="11"/>
  <c r="D210" i="11"/>
  <c r="D211" i="11"/>
  <c r="D212" i="11"/>
  <c r="D50" i="12" l="1"/>
  <c r="D49" i="12"/>
  <c r="D48" i="12"/>
  <c r="D47" i="12"/>
  <c r="D46" i="12"/>
  <c r="E46" i="12"/>
  <c r="E47" i="12"/>
  <c r="E48" i="12"/>
  <c r="E49" i="12"/>
  <c r="E50" i="12"/>
  <c r="I101" i="13" l="1"/>
  <c r="F101" i="13"/>
  <c r="E101" i="13"/>
  <c r="D101" i="13"/>
  <c r="C101" i="13"/>
  <c r="M52" i="7"/>
  <c r="L52" i="7"/>
  <c r="K52" i="7"/>
  <c r="J52" i="7"/>
  <c r="I52" i="7"/>
  <c r="A86" i="11" l="1"/>
  <c r="A87" i="11"/>
  <c r="A88" i="11"/>
  <c r="A89" i="11"/>
  <c r="A91" i="11"/>
  <c r="A92" i="11"/>
  <c r="A94" i="11"/>
  <c r="A95" i="11"/>
  <c r="A96" i="11"/>
  <c r="A97" i="11"/>
  <c r="A85" i="11" l="1"/>
  <c r="F159" i="11" l="1"/>
  <c r="A175" i="13"/>
  <c r="A174" i="13"/>
  <c r="A186" i="13"/>
  <c r="A187" i="13"/>
  <c r="A185" i="13"/>
  <c r="A184" i="13"/>
  <c r="A183" i="13"/>
  <c r="A182" i="13"/>
  <c r="A181" i="13"/>
  <c r="A180" i="13"/>
  <c r="A179" i="13"/>
  <c r="A178" i="13"/>
  <c r="A177" i="13"/>
  <c r="A176" i="13"/>
  <c r="B148" i="13"/>
  <c r="B191" i="13"/>
  <c r="I200" i="11" l="1"/>
  <c r="D200" i="11"/>
  <c r="I199" i="11"/>
  <c r="D199" i="11"/>
  <c r="I198" i="11"/>
  <c r="D198" i="11"/>
  <c r="I197" i="11"/>
  <c r="D197" i="11"/>
  <c r="I188" i="11"/>
  <c r="D188" i="11"/>
  <c r="I187" i="11"/>
  <c r="D187" i="11"/>
  <c r="I186" i="11"/>
  <c r="D186" i="11"/>
  <c r="I185" i="11"/>
  <c r="D185" i="11"/>
  <c r="I176" i="11"/>
  <c r="D176" i="11"/>
  <c r="I175" i="11"/>
  <c r="D175" i="11"/>
  <c r="I174" i="11"/>
  <c r="D174" i="11"/>
  <c r="I173" i="11"/>
  <c r="D173" i="11"/>
  <c r="I162" i="11"/>
  <c r="F162" i="11"/>
  <c r="D162" i="11"/>
  <c r="A162" i="11"/>
  <c r="I161" i="11"/>
  <c r="F161" i="11"/>
  <c r="D161" i="11"/>
  <c r="A161" i="11"/>
  <c r="I160" i="11"/>
  <c r="F160" i="11"/>
  <c r="D160" i="11"/>
  <c r="A160" i="11"/>
  <c r="I159" i="11"/>
  <c r="D159" i="11"/>
  <c r="A159" i="11"/>
  <c r="C229" i="13"/>
  <c r="A230" i="13"/>
  <c r="A231" i="13"/>
  <c r="A229" i="13"/>
  <c r="A228" i="13"/>
  <c r="G228" i="13"/>
  <c r="B223" i="13" l="1"/>
  <c r="B222" i="13"/>
  <c r="F229" i="13"/>
  <c r="F228" i="13"/>
  <c r="B217" i="13"/>
  <c r="F231" i="13"/>
  <c r="D231" i="13"/>
  <c r="B219" i="13"/>
  <c r="F232" i="13"/>
  <c r="B220" i="13"/>
  <c r="B221" i="13"/>
  <c r="B216" i="13"/>
  <c r="B218" i="13"/>
  <c r="B224" i="13"/>
  <c r="D228" i="13"/>
  <c r="C232" i="13"/>
  <c r="C231" i="13"/>
  <c r="E232" i="13"/>
  <c r="E231" i="13"/>
  <c r="E229" i="13"/>
  <c r="B215" i="13"/>
  <c r="F230" i="13"/>
  <c r="C228" i="13"/>
  <c r="C230" i="13"/>
  <c r="G232" i="13"/>
  <c r="G229" i="13"/>
  <c r="G231" i="13"/>
  <c r="E230" i="13"/>
  <c r="D232" i="13"/>
  <c r="D230" i="13"/>
  <c r="E228" i="13"/>
  <c r="D229" i="13"/>
  <c r="G230" i="13"/>
  <c r="B230" i="13" l="1"/>
  <c r="B237" i="13"/>
  <c r="B235" i="13"/>
  <c r="B231" i="13"/>
  <c r="B232" i="13"/>
  <c r="B228" i="13"/>
  <c r="B233" i="13"/>
  <c r="B236" i="13"/>
  <c r="B229" i="13"/>
  <c r="B234" i="13"/>
  <c r="D237" i="7" l="1"/>
  <c r="D276" i="7" l="1"/>
  <c r="J209" i="7" l="1"/>
  <c r="K209" i="7"/>
  <c r="M209" i="7"/>
  <c r="G313" i="7"/>
  <c r="G312" i="7"/>
  <c r="G311" i="7"/>
  <c r="G310" i="7"/>
  <c r="G309" i="7"/>
  <c r="G307" i="7"/>
  <c r="G306" i="7"/>
  <c r="G305" i="7"/>
  <c r="G304" i="7"/>
  <c r="G303" i="7"/>
  <c r="G302" i="7"/>
  <c r="G301" i="7"/>
  <c r="G300" i="7"/>
  <c r="G299" i="7"/>
  <c r="G298" i="7"/>
  <c r="G297" i="7"/>
  <c r="G295" i="7"/>
  <c r="G294" i="7"/>
  <c r="G293" i="7"/>
  <c r="G292" i="7"/>
  <c r="G291" i="7"/>
  <c r="G290" i="7"/>
  <c r="G289" i="7"/>
  <c r="G288" i="7"/>
  <c r="G287" i="7"/>
  <c r="G286" i="7"/>
  <c r="M285" i="7"/>
  <c r="L285" i="7"/>
  <c r="K285" i="7"/>
  <c r="J285" i="7"/>
  <c r="I285" i="7"/>
  <c r="G283" i="7"/>
  <c r="G282" i="7"/>
  <c r="G281" i="7"/>
  <c r="G280" i="7"/>
  <c r="G279" i="7"/>
  <c r="G278" i="7"/>
  <c r="G277" i="7"/>
  <c r="G276" i="7"/>
  <c r="D312" i="7"/>
  <c r="G275" i="7"/>
  <c r="G274" i="7"/>
  <c r="D310" i="7"/>
  <c r="M273" i="7"/>
  <c r="L273" i="7"/>
  <c r="K273" i="7"/>
  <c r="J273" i="7"/>
  <c r="I273" i="7"/>
  <c r="G270" i="7"/>
  <c r="G269" i="7"/>
  <c r="G268" i="7"/>
  <c r="G267" i="7"/>
  <c r="G266" i="7"/>
  <c r="G265" i="7"/>
  <c r="G264" i="7"/>
  <c r="G263" i="7"/>
  <c r="G262" i="7"/>
  <c r="G261" i="7"/>
  <c r="G260" i="7"/>
  <c r="G258" i="7"/>
  <c r="G257" i="7"/>
  <c r="G256" i="7"/>
  <c r="G255" i="7"/>
  <c r="G254" i="7"/>
  <c r="G253" i="7"/>
  <c r="G252" i="7"/>
  <c r="G251" i="7"/>
  <c r="G250" i="7"/>
  <c r="G249" i="7"/>
  <c r="G248" i="7"/>
  <c r="G246" i="7"/>
  <c r="G245" i="7"/>
  <c r="G244" i="7"/>
  <c r="G243" i="7"/>
  <c r="G242" i="7"/>
  <c r="G241" i="7"/>
  <c r="G240" i="7"/>
  <c r="G239" i="7"/>
  <c r="G238" i="7"/>
  <c r="G237" i="7"/>
  <c r="M236" i="7"/>
  <c r="L236" i="7"/>
  <c r="K236" i="7"/>
  <c r="J236" i="7"/>
  <c r="I236" i="7"/>
  <c r="G234" i="7"/>
  <c r="G233" i="7"/>
  <c r="G232" i="7"/>
  <c r="G231" i="7"/>
  <c r="G230" i="7"/>
  <c r="G229" i="7"/>
  <c r="G228" i="7"/>
  <c r="G227" i="7"/>
  <c r="D239" i="7"/>
  <c r="G226" i="7"/>
  <c r="G225" i="7"/>
  <c r="M224" i="7"/>
  <c r="L224" i="7"/>
  <c r="K224" i="7"/>
  <c r="J224" i="7"/>
  <c r="I224" i="7"/>
  <c r="G222" i="7"/>
  <c r="G221" i="7"/>
  <c r="G220" i="7"/>
  <c r="G219" i="7"/>
  <c r="G218" i="7"/>
  <c r="G217" i="7"/>
  <c r="G216" i="7"/>
  <c r="G215" i="7"/>
  <c r="G214" i="7"/>
  <c r="G213" i="7"/>
  <c r="M212" i="7"/>
  <c r="L212" i="7"/>
  <c r="K212" i="7"/>
  <c r="J212" i="7"/>
  <c r="I212" i="7"/>
  <c r="G212" i="7" l="1"/>
  <c r="G285" i="7"/>
  <c r="G236" i="7"/>
  <c r="G224" i="7"/>
  <c r="G273" i="7"/>
  <c r="D302" i="7"/>
  <c r="D251" i="7"/>
  <c r="D300" i="7"/>
  <c r="D249" i="7"/>
  <c r="D261" i="7" s="1"/>
  <c r="D298" i="7"/>
  <c r="D306" i="7"/>
  <c r="D304" i="7"/>
  <c r="D287" i="7"/>
  <c r="D238" i="7"/>
  <c r="D289" i="7"/>
  <c r="D240" i="7"/>
  <c r="D286" i="7"/>
  <c r="D288" i="7"/>
  <c r="D311" i="7"/>
  <c r="D313" i="7"/>
  <c r="D301" i="7" l="1"/>
  <c r="D252" i="7"/>
  <c r="D264" i="7" s="1"/>
  <c r="D307" i="7"/>
  <c r="D303" i="7"/>
  <c r="D299" i="7"/>
  <c r="D250" i="7"/>
  <c r="D262" i="7" s="1"/>
  <c r="D305" i="7"/>
  <c r="I93" i="13" l="1"/>
  <c r="I90" i="13"/>
  <c r="B93" i="13"/>
  <c r="B90" i="13"/>
  <c r="D4" i="12"/>
  <c r="H123" i="9"/>
  <c r="G123" i="9"/>
  <c r="F123" i="9"/>
  <c r="E123" i="9"/>
  <c r="D123" i="9"/>
  <c r="G59" i="7"/>
  <c r="H122" i="9"/>
  <c r="G122" i="9"/>
  <c r="F122" i="9"/>
  <c r="E122" i="9"/>
  <c r="D122" i="9"/>
  <c r="H109" i="9"/>
  <c r="G109" i="9"/>
  <c r="F109" i="9"/>
  <c r="E109" i="9"/>
  <c r="D109" i="9"/>
  <c r="H105" i="9"/>
  <c r="G105" i="9"/>
  <c r="F105" i="9"/>
  <c r="E105" i="9"/>
  <c r="D105" i="9"/>
  <c r="I118" i="13"/>
  <c r="I117" i="13"/>
  <c r="I108" i="13"/>
  <c r="I105" i="13"/>
  <c r="E96" i="9"/>
  <c r="F96" i="9"/>
  <c r="G96" i="9"/>
  <c r="H96" i="9"/>
  <c r="D96" i="9"/>
  <c r="A71" i="13"/>
  <c r="H74" i="9"/>
  <c r="G74" i="9"/>
  <c r="F74" i="9"/>
  <c r="E74" i="9"/>
  <c r="D74" i="9"/>
  <c r="E60" i="9"/>
  <c r="F60" i="9"/>
  <c r="G60" i="9"/>
  <c r="H60" i="9"/>
  <c r="D60" i="9"/>
  <c r="H46" i="9"/>
  <c r="G46" i="9"/>
  <c r="F46" i="9"/>
  <c r="E46" i="9"/>
  <c r="D46" i="9"/>
  <c r="H32" i="9"/>
  <c r="G32" i="9"/>
  <c r="F32" i="9"/>
  <c r="E32" i="9"/>
  <c r="D32" i="9"/>
  <c r="H22" i="9"/>
  <c r="G22" i="9"/>
  <c r="F22" i="9"/>
  <c r="E22" i="9"/>
  <c r="D22" i="9"/>
  <c r="A79" i="9"/>
  <c r="A65" i="9"/>
  <c r="A74" i="9"/>
  <c r="A60" i="9"/>
  <c r="A46" i="9"/>
  <c r="A32" i="9"/>
  <c r="D203" i="13"/>
  <c r="E203" i="13"/>
  <c r="F203" i="13"/>
  <c r="G203" i="13"/>
  <c r="D204" i="13"/>
  <c r="E204" i="13"/>
  <c r="F204" i="13"/>
  <c r="G204" i="13"/>
  <c r="D205" i="13"/>
  <c r="E205" i="13"/>
  <c r="F205" i="13"/>
  <c r="G205" i="13"/>
  <c r="D206" i="13"/>
  <c r="E206" i="13"/>
  <c r="F206" i="13"/>
  <c r="G206" i="13"/>
  <c r="D207" i="13"/>
  <c r="E207" i="13"/>
  <c r="F207" i="13"/>
  <c r="G207" i="13"/>
  <c r="D208" i="13"/>
  <c r="E208" i="13"/>
  <c r="F208" i="13"/>
  <c r="G208" i="13"/>
  <c r="C203" i="13"/>
  <c r="C204" i="13"/>
  <c r="C205" i="13"/>
  <c r="C206" i="13"/>
  <c r="C207" i="13"/>
  <c r="C208" i="13"/>
  <c r="D193" i="13"/>
  <c r="E193" i="13"/>
  <c r="F193" i="13"/>
  <c r="G193" i="13"/>
  <c r="D194" i="13"/>
  <c r="E194" i="13"/>
  <c r="F194" i="13"/>
  <c r="G194" i="13"/>
  <c r="D195" i="13"/>
  <c r="E195" i="13"/>
  <c r="F195" i="13"/>
  <c r="G195" i="13"/>
  <c r="D196" i="13"/>
  <c r="E196" i="13"/>
  <c r="F196" i="13"/>
  <c r="G196" i="13"/>
  <c r="D197" i="13"/>
  <c r="E197" i="13"/>
  <c r="F197" i="13"/>
  <c r="G197" i="13"/>
  <c r="C194" i="13"/>
  <c r="C195" i="13"/>
  <c r="C196" i="13"/>
  <c r="C197" i="13"/>
  <c r="C193" i="13"/>
  <c r="D174" i="13"/>
  <c r="E174" i="13"/>
  <c r="F174" i="13"/>
  <c r="G174" i="13"/>
  <c r="D175" i="13"/>
  <c r="E175" i="13"/>
  <c r="F175" i="13"/>
  <c r="G175" i="13"/>
  <c r="D176" i="13"/>
  <c r="E176" i="13"/>
  <c r="F176" i="13"/>
  <c r="G176" i="13"/>
  <c r="D177" i="13"/>
  <c r="E177" i="13"/>
  <c r="F177" i="13"/>
  <c r="G177" i="13"/>
  <c r="D178" i="13"/>
  <c r="E178" i="13"/>
  <c r="F178" i="13"/>
  <c r="G178" i="13"/>
  <c r="D179" i="13"/>
  <c r="E179" i="13"/>
  <c r="F179" i="13"/>
  <c r="G179" i="13"/>
  <c r="D180" i="13"/>
  <c r="E180" i="13"/>
  <c r="F180" i="13"/>
  <c r="G180" i="13"/>
  <c r="D181" i="13"/>
  <c r="E181" i="13"/>
  <c r="F181" i="13"/>
  <c r="G181" i="13"/>
  <c r="D182" i="13"/>
  <c r="E182" i="13"/>
  <c r="F182" i="13"/>
  <c r="G182" i="13"/>
  <c r="D183" i="13"/>
  <c r="E183" i="13"/>
  <c r="F183" i="13"/>
  <c r="G183" i="13"/>
  <c r="D184" i="13"/>
  <c r="E184" i="13"/>
  <c r="F184" i="13"/>
  <c r="G184" i="13"/>
  <c r="D185" i="13"/>
  <c r="E185" i="13"/>
  <c r="F185" i="13"/>
  <c r="G185" i="13"/>
  <c r="D186" i="13"/>
  <c r="E186" i="13"/>
  <c r="F186" i="13"/>
  <c r="G186" i="13"/>
  <c r="D187" i="13"/>
  <c r="E187" i="13"/>
  <c r="F187" i="13"/>
  <c r="G187" i="13"/>
  <c r="C175" i="13"/>
  <c r="C176" i="13"/>
  <c r="C177" i="13"/>
  <c r="C178" i="13"/>
  <c r="C179" i="13"/>
  <c r="C180" i="13"/>
  <c r="C181" i="13"/>
  <c r="C182" i="13"/>
  <c r="C183" i="13"/>
  <c r="C184" i="13"/>
  <c r="C185" i="13"/>
  <c r="C186" i="13"/>
  <c r="C187" i="13"/>
  <c r="C174" i="13"/>
  <c r="D170" i="13"/>
  <c r="E170" i="13"/>
  <c r="F170" i="13"/>
  <c r="G170" i="13"/>
  <c r="D171" i="13"/>
  <c r="E171" i="13"/>
  <c r="F171" i="13"/>
  <c r="G171" i="13"/>
  <c r="D172" i="13"/>
  <c r="E172" i="13"/>
  <c r="F172" i="13"/>
  <c r="G172" i="13"/>
  <c r="D161" i="13"/>
  <c r="E161" i="13"/>
  <c r="F161" i="13"/>
  <c r="G161" i="13"/>
  <c r="D164" i="13"/>
  <c r="E164" i="13"/>
  <c r="F164" i="13"/>
  <c r="G164" i="13"/>
  <c r="D165" i="13"/>
  <c r="E165" i="13"/>
  <c r="F165" i="13"/>
  <c r="G165" i="13"/>
  <c r="C161" i="13"/>
  <c r="C164" i="13"/>
  <c r="C165" i="13"/>
  <c r="D152" i="13"/>
  <c r="E152" i="13"/>
  <c r="F152" i="13"/>
  <c r="G152" i="13"/>
  <c r="D155" i="13"/>
  <c r="E155" i="13"/>
  <c r="F155" i="13"/>
  <c r="G155" i="13"/>
  <c r="D144" i="13"/>
  <c r="E144" i="13"/>
  <c r="F144" i="13"/>
  <c r="G144" i="13"/>
  <c r="D145" i="13"/>
  <c r="E145" i="13"/>
  <c r="F145" i="13"/>
  <c r="G145" i="13"/>
  <c r="D146" i="13"/>
  <c r="E146" i="13"/>
  <c r="F146" i="13"/>
  <c r="G146" i="13"/>
  <c r="C145" i="13"/>
  <c r="C146" i="13"/>
  <c r="C144" i="13"/>
  <c r="D141" i="13"/>
  <c r="E141" i="13"/>
  <c r="F141" i="13"/>
  <c r="G141" i="13"/>
  <c r="D142" i="13"/>
  <c r="E142" i="13"/>
  <c r="F142" i="13"/>
  <c r="G142" i="13"/>
  <c r="C142" i="13"/>
  <c r="C141" i="13"/>
  <c r="D136" i="13"/>
  <c r="E136" i="13"/>
  <c r="F136" i="13"/>
  <c r="G136" i="13"/>
  <c r="D137" i="13"/>
  <c r="E137" i="13"/>
  <c r="F137" i="13"/>
  <c r="G137" i="13"/>
  <c r="D138" i="13"/>
  <c r="E138" i="13"/>
  <c r="F138" i="13"/>
  <c r="G138" i="13"/>
  <c r="C136" i="13"/>
  <c r="C137" i="13"/>
  <c r="C138" i="13"/>
  <c r="B125" i="13"/>
  <c r="B123" i="13"/>
  <c r="B118" i="13"/>
  <c r="B117" i="13"/>
  <c r="G78" i="7"/>
  <c r="B108" i="13"/>
  <c r="B105" i="13"/>
  <c r="A101" i="13"/>
  <c r="A89" i="13"/>
  <c r="B78" i="13"/>
  <c r="C78" i="13" s="1"/>
  <c r="B81" i="13"/>
  <c r="B60" i="9" l="1"/>
  <c r="B46" i="9"/>
  <c r="B74" i="9"/>
  <c r="E37" i="9"/>
  <c r="E51" i="9" s="1"/>
  <c r="E65" i="9" s="1"/>
  <c r="E79" i="9" s="1"/>
  <c r="D37" i="9"/>
  <c r="D51" i="9" s="1"/>
  <c r="H37" i="9"/>
  <c r="H51" i="9" s="1"/>
  <c r="H65" i="9" s="1"/>
  <c r="H79" i="9" s="1"/>
  <c r="B181" i="13"/>
  <c r="D192" i="13"/>
  <c r="E136" i="9" s="1"/>
  <c r="F192" i="13"/>
  <c r="G136" i="9" s="1"/>
  <c r="G37" i="9"/>
  <c r="G51" i="9" s="1"/>
  <c r="G65" i="9" s="1"/>
  <c r="G79" i="9" s="1"/>
  <c r="D173" i="13"/>
  <c r="E117" i="9" s="1"/>
  <c r="C192" i="13"/>
  <c r="D136" i="9" s="1"/>
  <c r="B32" i="9"/>
  <c r="F173" i="13"/>
  <c r="G117" i="9" s="1"/>
  <c r="B184" i="13"/>
  <c r="B180" i="13"/>
  <c r="B187" i="13"/>
  <c r="B185" i="13"/>
  <c r="B183" i="13"/>
  <c r="B179" i="13"/>
  <c r="B177" i="13"/>
  <c r="E173" i="13"/>
  <c r="F117" i="9" s="1"/>
  <c r="C173" i="13"/>
  <c r="D117" i="9" s="1"/>
  <c r="B186" i="13"/>
  <c r="B182" i="13"/>
  <c r="B178" i="13"/>
  <c r="G173" i="13"/>
  <c r="H117" i="9" s="1"/>
  <c r="F37" i="9"/>
  <c r="E192" i="13"/>
  <c r="F136" i="9" s="1"/>
  <c r="G192" i="13"/>
  <c r="H136" i="9" s="1"/>
  <c r="E143" i="13"/>
  <c r="E140" i="13"/>
  <c r="C140" i="13"/>
  <c r="C143" i="13"/>
  <c r="D140" i="13"/>
  <c r="D143" i="13"/>
  <c r="G140" i="13"/>
  <c r="G143" i="13"/>
  <c r="F140" i="13"/>
  <c r="F143" i="13"/>
  <c r="D65" i="9" l="1"/>
  <c r="F51" i="9"/>
  <c r="B51" i="9" s="1"/>
  <c r="B70" i="13"/>
  <c r="B67" i="13"/>
  <c r="B37" i="9"/>
  <c r="E139" i="13"/>
  <c r="F108" i="9" s="1"/>
  <c r="B192" i="13"/>
  <c r="D139" i="13"/>
  <c r="E108" i="9" s="1"/>
  <c r="C139" i="13"/>
  <c r="F139" i="13"/>
  <c r="G139" i="13"/>
  <c r="F65" i="9" l="1"/>
  <c r="F79" i="9" s="1"/>
  <c r="D79" i="9"/>
  <c r="B79" i="9" s="1"/>
  <c r="H108" i="9"/>
  <c r="G108" i="9"/>
  <c r="D108" i="9"/>
  <c r="B65" i="9" l="1"/>
  <c r="M171" i="7"/>
  <c r="G169" i="13" s="1"/>
  <c r="L171" i="7"/>
  <c r="F169" i="13" s="1"/>
  <c r="K171" i="7"/>
  <c r="E169" i="13" s="1"/>
  <c r="J171" i="7"/>
  <c r="D169" i="13" s="1"/>
  <c r="M170" i="7"/>
  <c r="G168" i="13" s="1"/>
  <c r="L170" i="7"/>
  <c r="F168" i="13" s="1"/>
  <c r="K170" i="7"/>
  <c r="E168" i="13" s="1"/>
  <c r="J170" i="7"/>
  <c r="D168" i="13" s="1"/>
  <c r="M169" i="7"/>
  <c r="G167" i="13" s="1"/>
  <c r="G166" i="13" s="1"/>
  <c r="H116" i="9" s="1"/>
  <c r="L169" i="7"/>
  <c r="F167" i="13" s="1"/>
  <c r="K169" i="7"/>
  <c r="E167" i="13" s="1"/>
  <c r="J169" i="7"/>
  <c r="D167" i="13" s="1"/>
  <c r="D166" i="13" s="1"/>
  <c r="E116" i="9" s="1"/>
  <c r="I169" i="7"/>
  <c r="C167" i="13" s="1"/>
  <c r="I170" i="7"/>
  <c r="C168" i="13" s="1"/>
  <c r="I171" i="7"/>
  <c r="C169" i="13" s="1"/>
  <c r="I172" i="7"/>
  <c r="I173" i="7"/>
  <c r="I174" i="7"/>
  <c r="M137" i="7"/>
  <c r="G135" i="13" s="1"/>
  <c r="L137" i="7"/>
  <c r="F135" i="13" s="1"/>
  <c r="K137" i="7"/>
  <c r="E135" i="13" s="1"/>
  <c r="J137" i="7"/>
  <c r="D135" i="13" s="1"/>
  <c r="I137" i="7"/>
  <c r="C135" i="13" s="1"/>
  <c r="M136" i="7"/>
  <c r="G134" i="13" s="1"/>
  <c r="L136" i="7"/>
  <c r="F134" i="13" s="1"/>
  <c r="K136" i="7"/>
  <c r="E134" i="13" s="1"/>
  <c r="J136" i="7"/>
  <c r="D134" i="13" s="1"/>
  <c r="I136" i="7"/>
  <c r="C134" i="13" s="1"/>
  <c r="M164" i="7"/>
  <c r="G162" i="13" s="1"/>
  <c r="L164" i="7"/>
  <c r="F162" i="13" s="1"/>
  <c r="K164" i="7"/>
  <c r="E162" i="13" s="1"/>
  <c r="J164" i="7"/>
  <c r="D162" i="13" s="1"/>
  <c r="M165" i="7"/>
  <c r="G163" i="13" s="1"/>
  <c r="L165" i="7"/>
  <c r="F163" i="13" s="1"/>
  <c r="K165" i="7"/>
  <c r="E163" i="13" s="1"/>
  <c r="J165" i="7"/>
  <c r="D163" i="13" s="1"/>
  <c r="I165" i="7"/>
  <c r="C163" i="13" s="1"/>
  <c r="I164" i="7"/>
  <c r="C162" i="13" s="1"/>
  <c r="M162" i="7"/>
  <c r="G160" i="13" s="1"/>
  <c r="L162" i="7"/>
  <c r="F160" i="13" s="1"/>
  <c r="K162" i="7"/>
  <c r="E160" i="13" s="1"/>
  <c r="J162" i="7"/>
  <c r="D160" i="13" s="1"/>
  <c r="I162" i="7"/>
  <c r="C160" i="13" s="1"/>
  <c r="M40" i="7"/>
  <c r="L40" i="7"/>
  <c r="K40" i="7"/>
  <c r="J40" i="7"/>
  <c r="I40" i="7"/>
  <c r="M43" i="7"/>
  <c r="L43" i="7"/>
  <c r="K43" i="7"/>
  <c r="J43" i="7"/>
  <c r="I43" i="7"/>
  <c r="M200" i="7"/>
  <c r="G201" i="13" s="1"/>
  <c r="L200" i="7"/>
  <c r="F201" i="13" s="1"/>
  <c r="K200" i="7"/>
  <c r="E201" i="13" s="1"/>
  <c r="J200" i="7"/>
  <c r="D201" i="13" s="1"/>
  <c r="I200" i="7"/>
  <c r="C201" i="13" s="1"/>
  <c r="G197" i="7"/>
  <c r="G157" i="7"/>
  <c r="G158" i="7"/>
  <c r="G159" i="7"/>
  <c r="G163" i="7"/>
  <c r="G166" i="7"/>
  <c r="G167" i="7"/>
  <c r="G168" i="7"/>
  <c r="G175" i="7"/>
  <c r="G176" i="7"/>
  <c r="G177" i="7"/>
  <c r="G178" i="7"/>
  <c r="G179" i="7"/>
  <c r="I90" i="7"/>
  <c r="M64" i="7"/>
  <c r="M63" i="7" s="1"/>
  <c r="L64" i="7"/>
  <c r="L63" i="7" s="1"/>
  <c r="K64" i="7"/>
  <c r="K63" i="7" s="1"/>
  <c r="J64" i="7"/>
  <c r="J63" i="7" s="1"/>
  <c r="I64" i="7"/>
  <c r="I63" i="7" s="1"/>
  <c r="B201" i="13" l="1"/>
  <c r="F166" i="13"/>
  <c r="G116" i="9" s="1"/>
  <c r="E133" i="13"/>
  <c r="F107" i="9" s="1"/>
  <c r="F110" i="9" s="1"/>
  <c r="E166" i="13"/>
  <c r="F116" i="9" s="1"/>
  <c r="G133" i="13"/>
  <c r="H107" i="9" s="1"/>
  <c r="H110" i="9" s="1"/>
  <c r="F133" i="13"/>
  <c r="G107" i="9" s="1"/>
  <c r="G110" i="9" s="1"/>
  <c r="G174" i="7"/>
  <c r="C172" i="13"/>
  <c r="G173" i="7"/>
  <c r="C171" i="13"/>
  <c r="C133" i="13"/>
  <c r="B134" i="13"/>
  <c r="G172" i="7"/>
  <c r="C170" i="13"/>
  <c r="D133" i="13"/>
  <c r="B135" i="13"/>
  <c r="G170" i="7"/>
  <c r="I39" i="7"/>
  <c r="L135" i="7"/>
  <c r="L201" i="7" s="1"/>
  <c r="F202" i="13" s="1"/>
  <c r="F200" i="13" s="1"/>
  <c r="G138" i="9" s="1"/>
  <c r="G140" i="9" s="1"/>
  <c r="G169" i="7"/>
  <c r="G162" i="7"/>
  <c r="G165" i="7"/>
  <c r="G171" i="7"/>
  <c r="G164" i="7"/>
  <c r="G154" i="7"/>
  <c r="E132" i="13" l="1"/>
  <c r="G132" i="13"/>
  <c r="C166" i="13"/>
  <c r="D116" i="9" s="1"/>
  <c r="F132" i="13"/>
  <c r="E107" i="9"/>
  <c r="E110" i="9" s="1"/>
  <c r="D132" i="13"/>
  <c r="D107" i="9"/>
  <c r="D110" i="9" s="1"/>
  <c r="C132" i="13"/>
  <c r="I135" i="7"/>
  <c r="I201" i="7" s="1"/>
  <c r="C202" i="13" s="1"/>
  <c r="C200" i="13" s="1"/>
  <c r="I145" i="7"/>
  <c r="M142" i="7"/>
  <c r="M141" i="7" s="1"/>
  <c r="L142" i="7"/>
  <c r="L141" i="7" s="1"/>
  <c r="K142" i="7"/>
  <c r="K141" i="7" s="1"/>
  <c r="J142" i="7"/>
  <c r="J141" i="7" s="1"/>
  <c r="I142" i="7"/>
  <c r="M135" i="7"/>
  <c r="M201" i="7" s="1"/>
  <c r="G202" i="13" s="1"/>
  <c r="G200" i="13" s="1"/>
  <c r="H138" i="9" s="1"/>
  <c r="K135" i="7"/>
  <c r="K201" i="7" s="1"/>
  <c r="E202" i="13" s="1"/>
  <c r="E200" i="13" s="1"/>
  <c r="F138" i="9" s="1"/>
  <c r="J135" i="7"/>
  <c r="J201" i="7" s="1"/>
  <c r="D202" i="13" s="1"/>
  <c r="D200" i="13" s="1"/>
  <c r="E138" i="9" s="1"/>
  <c r="G94" i="7"/>
  <c r="G92" i="7"/>
  <c r="M79" i="7"/>
  <c r="M77" i="7" s="1"/>
  <c r="L79" i="7"/>
  <c r="L77" i="7" s="1"/>
  <c r="K79" i="7"/>
  <c r="K77" i="7" s="1"/>
  <c r="J79" i="7"/>
  <c r="J77" i="7" s="1"/>
  <c r="I79" i="7"/>
  <c r="G73" i="7"/>
  <c r="G75" i="7"/>
  <c r="J145" i="7"/>
  <c r="K145" i="7"/>
  <c r="L145" i="7"/>
  <c r="M145" i="7"/>
  <c r="G137" i="7"/>
  <c r="G138" i="7"/>
  <c r="I77" i="7" l="1"/>
  <c r="G77" i="7" s="1"/>
  <c r="G79" i="7"/>
  <c r="D138" i="9"/>
  <c r="B200" i="13"/>
  <c r="B110" i="9"/>
  <c r="I160" i="7"/>
  <c r="M48" i="7"/>
  <c r="M160" i="7"/>
  <c r="J160" i="7"/>
  <c r="J48" i="7"/>
  <c r="K160" i="7"/>
  <c r="I48" i="7"/>
  <c r="L48" i="7"/>
  <c r="L160" i="7"/>
  <c r="K48" i="7"/>
  <c r="I141" i="7"/>
  <c r="J50" i="7"/>
  <c r="K50" i="7"/>
  <c r="K155" i="7" s="1"/>
  <c r="L50" i="7"/>
  <c r="L155" i="7" s="1"/>
  <c r="M50" i="7"/>
  <c r="M155" i="7" s="1"/>
  <c r="I50" i="7"/>
  <c r="K161" i="7" l="1"/>
  <c r="E159" i="13" s="1"/>
  <c r="E158" i="13"/>
  <c r="L161" i="7"/>
  <c r="F159" i="13" s="1"/>
  <c r="F158" i="13"/>
  <c r="I161" i="7"/>
  <c r="C159" i="13" s="1"/>
  <c r="C158" i="13"/>
  <c r="I116" i="13"/>
  <c r="B116" i="13"/>
  <c r="J161" i="7"/>
  <c r="D159" i="13" s="1"/>
  <c r="D158" i="13"/>
  <c r="M161" i="7"/>
  <c r="G159" i="13" s="1"/>
  <c r="G158" i="13"/>
  <c r="I51" i="7"/>
  <c r="I156" i="7" s="1"/>
  <c r="I155" i="7"/>
  <c r="C151" i="13" s="1"/>
  <c r="M51" i="7"/>
  <c r="M156" i="7" s="1"/>
  <c r="L51" i="7"/>
  <c r="L156" i="7" s="1"/>
  <c r="G160" i="7"/>
  <c r="K51" i="7"/>
  <c r="K156" i="7" s="1"/>
  <c r="J51" i="7"/>
  <c r="J156" i="7" s="1"/>
  <c r="J155" i="7"/>
  <c r="D151" i="13" s="1"/>
  <c r="B199" i="13"/>
  <c r="D157" i="13" l="1"/>
  <c r="D156" i="13" s="1"/>
  <c r="E115" i="9" s="1"/>
  <c r="C157" i="13"/>
  <c r="C156" i="13" s="1"/>
  <c r="D150" i="13"/>
  <c r="E114" i="9" s="1"/>
  <c r="F157" i="13"/>
  <c r="F156" i="13" s="1"/>
  <c r="G115" i="9" s="1"/>
  <c r="C150" i="13"/>
  <c r="D115" i="9"/>
  <c r="K153" i="7"/>
  <c r="K152" i="7" s="1"/>
  <c r="E151" i="13"/>
  <c r="E150" i="13" s="1"/>
  <c r="L153" i="7"/>
  <c r="L152" i="7" s="1"/>
  <c r="F151" i="13"/>
  <c r="F150" i="13" s="1"/>
  <c r="G161" i="7"/>
  <c r="M153" i="7"/>
  <c r="M152" i="7" s="1"/>
  <c r="G151" i="13"/>
  <c r="G150" i="13" s="1"/>
  <c r="G157" i="13"/>
  <c r="G156" i="13" s="1"/>
  <c r="H115" i="9" s="1"/>
  <c r="E157" i="13"/>
  <c r="E156" i="13" s="1"/>
  <c r="F115" i="9" s="1"/>
  <c r="G156" i="7"/>
  <c r="J153" i="7"/>
  <c r="J152" i="7" s="1"/>
  <c r="I153" i="7"/>
  <c r="I152" i="7" s="1"/>
  <c r="G155" i="7"/>
  <c r="A93" i="13"/>
  <c r="A90" i="13"/>
  <c r="A81" i="13"/>
  <c r="A78" i="13"/>
  <c r="D8" i="13"/>
  <c r="D29" i="13" s="1"/>
  <c r="E8" i="13"/>
  <c r="E39" i="13" s="1"/>
  <c r="F8" i="13"/>
  <c r="F49" i="13" s="1"/>
  <c r="G8" i="13"/>
  <c r="G19" i="13" s="1"/>
  <c r="C8" i="13"/>
  <c r="C29" i="13" s="1"/>
  <c r="C125" i="13"/>
  <c r="A37" i="13"/>
  <c r="A47" i="13" s="1"/>
  <c r="A57" i="13" s="1"/>
  <c r="A68" i="11"/>
  <c r="A69" i="11"/>
  <c r="A70" i="11"/>
  <c r="A71" i="11"/>
  <c r="A77" i="11"/>
  <c r="A78" i="11"/>
  <c r="A79" i="11"/>
  <c r="A67" i="11"/>
  <c r="E119" i="9" l="1"/>
  <c r="D114" i="9"/>
  <c r="D119" i="9" s="1"/>
  <c r="C149" i="13"/>
  <c r="D149" i="13"/>
  <c r="F114" i="9"/>
  <c r="F119" i="9" s="1"/>
  <c r="E149" i="13"/>
  <c r="G114" i="9"/>
  <c r="G119" i="9" s="1"/>
  <c r="F149" i="13"/>
  <c r="H114" i="9"/>
  <c r="H119" i="9" s="1"/>
  <c r="G149" i="13"/>
  <c r="G152" i="7"/>
  <c r="G153" i="7"/>
  <c r="D39" i="13"/>
  <c r="F19" i="13"/>
  <c r="F29" i="13"/>
  <c r="G29" i="13"/>
  <c r="F39" i="13"/>
  <c r="C39" i="13"/>
  <c r="G39" i="13"/>
  <c r="E49" i="13"/>
  <c r="E19" i="13"/>
  <c r="C49" i="13"/>
  <c r="D49" i="13"/>
  <c r="D125" i="13"/>
  <c r="C19" i="13"/>
  <c r="D19" i="13"/>
  <c r="E29" i="13"/>
  <c r="G49" i="13"/>
  <c r="D131" i="13"/>
  <c r="D191" i="13" s="1"/>
  <c r="D213" i="13" s="1"/>
  <c r="E131" i="13"/>
  <c r="F131" i="13"/>
  <c r="C131" i="13"/>
  <c r="C191" i="13" s="1"/>
  <c r="C213" i="13" s="1"/>
  <c r="G36" i="7"/>
  <c r="G189" i="7"/>
  <c r="G188" i="7"/>
  <c r="G187" i="7"/>
  <c r="G186" i="7"/>
  <c r="G185" i="7"/>
  <c r="G184" i="7"/>
  <c r="G182" i="7"/>
  <c r="G181" i="7"/>
  <c r="G180" i="7"/>
  <c r="G148" i="7"/>
  <c r="G147" i="7"/>
  <c r="G146" i="7"/>
  <c r="G145" i="7"/>
  <c r="G144" i="7"/>
  <c r="G143" i="7"/>
  <c r="G142" i="7"/>
  <c r="G141" i="7"/>
  <c r="G140" i="7"/>
  <c r="G139" i="7"/>
  <c r="G136" i="7"/>
  <c r="G135" i="7"/>
  <c r="G203" i="7"/>
  <c r="G202" i="7"/>
  <c r="G201" i="7"/>
  <c r="G200" i="7"/>
  <c r="G196" i="7"/>
  <c r="C199" i="13" l="1"/>
  <c r="C148" i="13"/>
  <c r="F148" i="13"/>
  <c r="F191" i="13"/>
  <c r="E148" i="13"/>
  <c r="E191" i="13"/>
  <c r="D199" i="13"/>
  <c r="D148" i="13"/>
  <c r="E125" i="13"/>
  <c r="F125" i="13" s="1"/>
  <c r="B169" i="13"/>
  <c r="B170" i="13"/>
  <c r="B175" i="13"/>
  <c r="B193" i="13"/>
  <c r="B168" i="13"/>
  <c r="B172" i="13"/>
  <c r="B162" i="13"/>
  <c r="B197" i="13"/>
  <c r="B203" i="13"/>
  <c r="B158" i="13"/>
  <c r="B195" i="13"/>
  <c r="B165" i="13"/>
  <c r="B163" i="13"/>
  <c r="B167" i="13"/>
  <c r="B174" i="13"/>
  <c r="B164" i="13"/>
  <c r="B202" i="13"/>
  <c r="B208" i="13"/>
  <c r="B160" i="13"/>
  <c r="B161" i="13"/>
  <c r="B196" i="13"/>
  <c r="B205" i="13"/>
  <c r="B207" i="13"/>
  <c r="B159" i="13"/>
  <c r="B171" i="13"/>
  <c r="B176" i="13"/>
  <c r="B194" i="13"/>
  <c r="B204" i="13"/>
  <c r="B206" i="13"/>
  <c r="G131" i="13"/>
  <c r="J90" i="7"/>
  <c r="K90" i="7"/>
  <c r="L90" i="7"/>
  <c r="M90" i="7"/>
  <c r="K32" i="7"/>
  <c r="E199" i="13" l="1"/>
  <c r="E213" i="13"/>
  <c r="F199" i="13"/>
  <c r="F213" i="13"/>
  <c r="C60" i="13"/>
  <c r="C61" i="13" s="1"/>
  <c r="D60" i="13"/>
  <c r="D61" i="13" s="1"/>
  <c r="E60" i="13"/>
  <c r="E61" i="13" s="1"/>
  <c r="B60" i="13"/>
  <c r="B61" i="13" s="1"/>
  <c r="G191" i="13"/>
  <c r="G148" i="13"/>
  <c r="G125" i="13"/>
  <c r="G199" i="13" l="1"/>
  <c r="G213" i="13"/>
  <c r="G61" i="7"/>
  <c r="G60" i="7"/>
  <c r="E134" i="9"/>
  <c r="F134" i="9"/>
  <c r="G134" i="9"/>
  <c r="H134" i="9"/>
  <c r="D134" i="9"/>
  <c r="B134" i="9" l="1"/>
  <c r="D68" i="11"/>
  <c r="D69" i="11"/>
  <c r="J131" i="7"/>
  <c r="E118" i="9" s="1"/>
  <c r="K131" i="7"/>
  <c r="F118" i="9" s="1"/>
  <c r="L131" i="7"/>
  <c r="G118" i="9" s="1"/>
  <c r="M131" i="7"/>
  <c r="H118" i="9" s="1"/>
  <c r="I131" i="7"/>
  <c r="D118" i="9" s="1"/>
  <c r="A68" i="13"/>
  <c r="A12" i="13"/>
  <c r="A67" i="13" s="1"/>
  <c r="A11" i="13"/>
  <c r="A66" i="13" s="1"/>
  <c r="A10" i="13"/>
  <c r="A65" i="13" s="1"/>
  <c r="A14" i="13"/>
  <c r="A69" i="13" s="1"/>
  <c r="A26" i="13" l="1"/>
  <c r="A70" i="13"/>
  <c r="G131" i="7"/>
  <c r="G130" i="7"/>
  <c r="C108" i="13"/>
  <c r="C81" i="13"/>
  <c r="E13" i="9"/>
  <c r="F13" i="9"/>
  <c r="G13" i="9"/>
  <c r="H13" i="9"/>
  <c r="D13" i="9"/>
  <c r="E12" i="9"/>
  <c r="F12" i="9"/>
  <c r="G12" i="9"/>
  <c r="H12" i="9"/>
  <c r="D12" i="9"/>
  <c r="E8" i="9"/>
  <c r="E133" i="9" s="1"/>
  <c r="F8" i="9"/>
  <c r="F133" i="9" s="1"/>
  <c r="G8" i="9"/>
  <c r="G133" i="9" s="1"/>
  <c r="H8" i="9"/>
  <c r="H133" i="9" s="1"/>
  <c r="D8" i="9"/>
  <c r="D133" i="9" s="1"/>
  <c r="J39" i="7"/>
  <c r="K39" i="7"/>
  <c r="L39" i="7"/>
  <c r="M39" i="7"/>
  <c r="G103" i="7"/>
  <c r="J33" i="7"/>
  <c r="K33" i="7"/>
  <c r="L33" i="7"/>
  <c r="M33" i="7"/>
  <c r="I33" i="7"/>
  <c r="J32" i="7"/>
  <c r="L32" i="7"/>
  <c r="M32" i="7"/>
  <c r="I32" i="7"/>
  <c r="M19" i="7"/>
  <c r="L19" i="7"/>
  <c r="K19" i="7"/>
  <c r="J19" i="7"/>
  <c r="I19" i="7"/>
  <c r="I18" i="7"/>
  <c r="I29" i="7" s="1"/>
  <c r="D81" i="13" l="1"/>
  <c r="E81" i="13" s="1"/>
  <c r="F81" i="13" s="1"/>
  <c r="G81" i="13" s="1"/>
  <c r="D15" i="13"/>
  <c r="C15" i="13"/>
  <c r="E15" i="13"/>
  <c r="F15" i="13"/>
  <c r="G15" i="13"/>
  <c r="C123" i="13"/>
  <c r="C93" i="13"/>
  <c r="D93" i="13" s="1"/>
  <c r="E93" i="13" s="1"/>
  <c r="F93" i="13" s="1"/>
  <c r="G93" i="13" s="1"/>
  <c r="C105" i="13"/>
  <c r="G95" i="13"/>
  <c r="G82" i="13"/>
  <c r="C90" i="13"/>
  <c r="G99" i="13"/>
  <c r="D108" i="13"/>
  <c r="G84" i="13"/>
  <c r="G97" i="13"/>
  <c r="G110" i="13"/>
  <c r="C117" i="13"/>
  <c r="C118" i="13"/>
  <c r="D118" i="13" s="1"/>
  <c r="A21" i="13"/>
  <c r="A31" i="13" s="1"/>
  <c r="A41" i="13" s="1"/>
  <c r="A51" i="13" s="1"/>
  <c r="A22" i="13"/>
  <c r="A32" i="13" s="1"/>
  <c r="A42" i="13" s="1"/>
  <c r="A52" i="13" s="1"/>
  <c r="A23" i="13"/>
  <c r="A33" i="13" s="1"/>
  <c r="A24" i="13"/>
  <c r="A34" i="13" s="1"/>
  <c r="A25" i="13"/>
  <c r="A35" i="13" s="1"/>
  <c r="A45" i="13" s="1"/>
  <c r="A55" i="13" s="1"/>
  <c r="A36" i="13"/>
  <c r="A46" i="13" s="1"/>
  <c r="A56" i="13" s="1"/>
  <c r="J8" i="12"/>
  <c r="C116" i="13" l="1"/>
  <c r="D105" i="13"/>
  <c r="E105" i="13" s="1"/>
  <c r="D123" i="13"/>
  <c r="E123" i="13" s="1"/>
  <c r="F26" i="13"/>
  <c r="E26" i="13"/>
  <c r="G26" i="13"/>
  <c r="D26" i="13"/>
  <c r="C26" i="13"/>
  <c r="B138" i="13"/>
  <c r="B137" i="13"/>
  <c r="B15" i="13"/>
  <c r="G86" i="13"/>
  <c r="G85" i="13"/>
  <c r="G87" i="13"/>
  <c r="G94" i="13"/>
  <c r="E118" i="13"/>
  <c r="F118" i="13" s="1"/>
  <c r="G109" i="13"/>
  <c r="D78" i="13"/>
  <c r="E108" i="13"/>
  <c r="F108" i="13" s="1"/>
  <c r="G96" i="13"/>
  <c r="B13" i="13"/>
  <c r="D90" i="13"/>
  <c r="G98" i="13"/>
  <c r="A44" i="13"/>
  <c r="A54" i="13" s="1"/>
  <c r="G121" i="13"/>
  <c r="D117" i="13"/>
  <c r="D116" i="13" s="1"/>
  <c r="A43" i="13"/>
  <c r="A53" i="13" s="1"/>
  <c r="B12" i="13"/>
  <c r="E78" i="13" l="1"/>
  <c r="F78" i="13" s="1"/>
  <c r="F46" i="13"/>
  <c r="E46" i="13"/>
  <c r="G46" i="13"/>
  <c r="D46" i="13"/>
  <c r="C46" i="13"/>
  <c r="D35" i="13"/>
  <c r="E35" i="13"/>
  <c r="G35" i="13"/>
  <c r="C35" i="13"/>
  <c r="F35" i="13"/>
  <c r="C25" i="13"/>
  <c r="D25" i="13"/>
  <c r="E25" i="13"/>
  <c r="F25" i="13"/>
  <c r="G25" i="13"/>
  <c r="D36" i="13"/>
  <c r="C36" i="13"/>
  <c r="G36" i="13"/>
  <c r="E36" i="13"/>
  <c r="F36" i="13"/>
  <c r="G114" i="13"/>
  <c r="B26" i="13"/>
  <c r="B24" i="13"/>
  <c r="E117" i="13"/>
  <c r="G118" i="13"/>
  <c r="G83" i="13"/>
  <c r="F123" i="13"/>
  <c r="F105" i="13"/>
  <c r="G108" i="13"/>
  <c r="E90" i="13"/>
  <c r="G120" i="13"/>
  <c r="G119" i="13"/>
  <c r="B23" i="13"/>
  <c r="F117" i="13" l="1"/>
  <c r="F116" i="13" s="1"/>
  <c r="E116" i="13"/>
  <c r="G105" i="13"/>
  <c r="G78" i="13"/>
  <c r="B34" i="13"/>
  <c r="B36" i="13"/>
  <c r="G56" i="13"/>
  <c r="F56" i="13"/>
  <c r="D56" i="13"/>
  <c r="C56" i="13"/>
  <c r="E56" i="13"/>
  <c r="B44" i="13"/>
  <c r="B46" i="13"/>
  <c r="G123" i="13"/>
  <c r="F90" i="13"/>
  <c r="B54" i="13"/>
  <c r="B35" i="13"/>
  <c r="B25" i="13"/>
  <c r="B33" i="13"/>
  <c r="G117" i="13" l="1"/>
  <c r="F69" i="13"/>
  <c r="E69" i="13"/>
  <c r="C69" i="13"/>
  <c r="D69" i="13"/>
  <c r="G69" i="13"/>
  <c r="B43" i="13"/>
  <c r="G112" i="13"/>
  <c r="G55" i="13"/>
  <c r="D55" i="13"/>
  <c r="F55" i="13"/>
  <c r="E55" i="13"/>
  <c r="C55" i="13"/>
  <c r="F45" i="13"/>
  <c r="E45" i="13"/>
  <c r="C45" i="13"/>
  <c r="G45" i="13"/>
  <c r="D45" i="13"/>
  <c r="B56" i="13"/>
  <c r="G90" i="13"/>
  <c r="B69" i="13" l="1"/>
  <c r="B53" i="13"/>
  <c r="B45" i="13"/>
  <c r="B55" i="13"/>
  <c r="G97" i="11" l="1"/>
  <c r="G79" i="11"/>
  <c r="G96" i="11"/>
  <c r="G78" i="11"/>
  <c r="G95" i="11"/>
  <c r="G77" i="11"/>
  <c r="G94" i="11"/>
  <c r="G76" i="11"/>
  <c r="G93" i="11"/>
  <c r="D93" i="11"/>
  <c r="G75" i="11"/>
  <c r="D75" i="11"/>
  <c r="G92" i="11"/>
  <c r="D92" i="11"/>
  <c r="G74" i="11"/>
  <c r="D74" i="11"/>
  <c r="G91" i="11"/>
  <c r="D91" i="11"/>
  <c r="G73" i="11"/>
  <c r="G90" i="11"/>
  <c r="D90" i="11"/>
  <c r="G72" i="11"/>
  <c r="D72" i="11"/>
  <c r="G89" i="11"/>
  <c r="D89" i="11"/>
  <c r="G71" i="11"/>
  <c r="D71" i="11"/>
  <c r="G88" i="11"/>
  <c r="G70" i="11"/>
  <c r="G87" i="11"/>
  <c r="D87" i="11"/>
  <c r="G69" i="11"/>
  <c r="G86" i="11"/>
  <c r="D86" i="11"/>
  <c r="G68" i="11"/>
  <c r="G85" i="11"/>
  <c r="D85" i="11"/>
  <c r="G67" i="11"/>
  <c r="D67" i="11"/>
  <c r="H17" i="9"/>
  <c r="G41" i="9"/>
  <c r="D17" i="9"/>
  <c r="B226" i="13" l="1"/>
  <c r="B12" i="9"/>
  <c r="B45" i="9"/>
  <c r="B114" i="9"/>
  <c r="B122" i="9"/>
  <c r="B123" i="9"/>
  <c r="B31" i="9"/>
  <c r="B116" i="9"/>
  <c r="B105" i="9"/>
  <c r="H111" i="9"/>
  <c r="B115" i="9"/>
  <c r="B13" i="9"/>
  <c r="B107" i="9"/>
  <c r="B108" i="9"/>
  <c r="E111" i="9"/>
  <c r="H95" i="11"/>
  <c r="H85" i="11"/>
  <c r="H89" i="11"/>
  <c r="H72" i="11"/>
  <c r="H67" i="11"/>
  <c r="H70" i="11"/>
  <c r="H68" i="11"/>
  <c r="H76" i="11"/>
  <c r="H87" i="11"/>
  <c r="H97" i="11"/>
  <c r="H71" i="11"/>
  <c r="H73" i="11"/>
  <c r="H75" i="11"/>
  <c r="H96" i="11"/>
  <c r="H69" i="11"/>
  <c r="H91" i="11"/>
  <c r="H74" i="11"/>
  <c r="H93" i="11"/>
  <c r="H77" i="11"/>
  <c r="H86" i="11"/>
  <c r="H90" i="11"/>
  <c r="H94" i="11"/>
  <c r="H79" i="11"/>
  <c r="H88" i="11"/>
  <c r="H92" i="11"/>
  <c r="H78" i="11"/>
  <c r="E113" i="9"/>
  <c r="E103" i="9"/>
  <c r="E121" i="9"/>
  <c r="E86" i="9"/>
  <c r="E91" i="9"/>
  <c r="E69" i="9"/>
  <c r="E41" i="9"/>
  <c r="E27" i="9"/>
  <c r="F113" i="9"/>
  <c r="F103" i="9"/>
  <c r="F121" i="9"/>
  <c r="F91" i="9"/>
  <c r="F86" i="9"/>
  <c r="F55" i="9"/>
  <c r="E17" i="9"/>
  <c r="F27" i="9"/>
  <c r="F69" i="9"/>
  <c r="G121" i="9"/>
  <c r="G113" i="9"/>
  <c r="G103" i="9"/>
  <c r="G91" i="9"/>
  <c r="G86" i="9"/>
  <c r="G69" i="9"/>
  <c r="G55" i="9"/>
  <c r="F17" i="9"/>
  <c r="G27" i="9"/>
  <c r="E55" i="9"/>
  <c r="D121" i="9"/>
  <c r="D113" i="9"/>
  <c r="D103" i="9"/>
  <c r="D91" i="9"/>
  <c r="D69" i="9"/>
  <c r="D55" i="9"/>
  <c r="D86" i="9"/>
  <c r="D41" i="9"/>
  <c r="H113" i="9"/>
  <c r="H121" i="9"/>
  <c r="H103" i="9"/>
  <c r="H91" i="9"/>
  <c r="H86" i="9"/>
  <c r="H69" i="9"/>
  <c r="H55" i="9"/>
  <c r="H41" i="9"/>
  <c r="G17" i="9"/>
  <c r="D27" i="9"/>
  <c r="H27" i="9"/>
  <c r="F41" i="9"/>
  <c r="B59" i="9"/>
  <c r="B73" i="9"/>
  <c r="B117" i="9"/>
  <c r="E88" i="9" l="1"/>
  <c r="E89" i="9" s="1"/>
  <c r="F17" i="13"/>
  <c r="G23" i="9" s="1"/>
  <c r="H88" i="9"/>
  <c r="H89" i="9" s="1"/>
  <c r="D88" i="9"/>
  <c r="D89" i="9" s="1"/>
  <c r="E17" i="13"/>
  <c r="F23" i="9" s="1"/>
  <c r="G88" i="9"/>
  <c r="G89" i="9" s="1"/>
  <c r="D14" i="9"/>
  <c r="D15" i="9" s="1"/>
  <c r="D17" i="13"/>
  <c r="E23" i="9" s="1"/>
  <c r="F88" i="9"/>
  <c r="F89" i="9" s="1"/>
  <c r="G17" i="13"/>
  <c r="H23" i="9" s="1"/>
  <c r="C17" i="13"/>
  <c r="D23" i="9" s="1"/>
  <c r="D72" i="13"/>
  <c r="G72" i="13"/>
  <c r="C72" i="13"/>
  <c r="F72" i="13"/>
  <c r="E72" i="13"/>
  <c r="E14" i="9"/>
  <c r="E15" i="9" s="1"/>
  <c r="F14" i="9"/>
  <c r="F15" i="9" s="1"/>
  <c r="G14" i="9"/>
  <c r="G15" i="9" s="1"/>
  <c r="H14" i="9"/>
  <c r="H15" i="9" s="1"/>
  <c r="D140" i="9"/>
  <c r="F140" i="9"/>
  <c r="F141" i="9" s="1"/>
  <c r="G142" i="9"/>
  <c r="B138" i="9"/>
  <c r="G111" i="9"/>
  <c r="H140" i="9"/>
  <c r="E140" i="9"/>
  <c r="B136" i="9"/>
  <c r="H124" i="9"/>
  <c r="G124" i="9"/>
  <c r="G126" i="9" s="1"/>
  <c r="F111" i="9"/>
  <c r="D111" i="9"/>
  <c r="B111" i="9"/>
  <c r="D32" i="12" s="1"/>
  <c r="B89" i="9" l="1"/>
  <c r="B88" i="9"/>
  <c r="B97" i="9"/>
  <c r="B23" i="9"/>
  <c r="B17" i="13"/>
  <c r="B72" i="13"/>
  <c r="E124" i="9"/>
  <c r="E126" i="9" s="1"/>
  <c r="F124" i="9"/>
  <c r="F126" i="9" s="1"/>
  <c r="D59" i="12"/>
  <c r="G56" i="12"/>
  <c r="D142" i="9"/>
  <c r="B140" i="9"/>
  <c r="D58" i="12" s="1"/>
  <c r="D141" i="9"/>
  <c r="B15" i="9"/>
  <c r="B14" i="9"/>
  <c r="G141" i="9"/>
  <c r="F142" i="9"/>
  <c r="E142" i="9"/>
  <c r="E141" i="9"/>
  <c r="H141" i="9"/>
  <c r="H142" i="9"/>
  <c r="H126" i="9"/>
  <c r="G127" i="9"/>
  <c r="G128" i="9"/>
  <c r="E128" i="9" l="1"/>
  <c r="E127" i="9"/>
  <c r="G57" i="12"/>
  <c r="H56" i="12"/>
  <c r="D124" i="9"/>
  <c r="D126" i="9" s="1"/>
  <c r="B141" i="9"/>
  <c r="D61" i="12" s="1"/>
  <c r="B142" i="9"/>
  <c r="D60" i="12" s="1"/>
  <c r="H128" i="9"/>
  <c r="H127" i="9"/>
  <c r="F127" i="9"/>
  <c r="F128" i="9"/>
  <c r="B119" i="9"/>
  <c r="B124" i="9" l="1"/>
  <c r="G33" i="12"/>
  <c r="I37" i="12"/>
  <c r="I33" i="12"/>
  <c r="D38" i="12"/>
  <c r="H57" i="12"/>
  <c r="I56" i="12"/>
  <c r="I57" i="12" s="1"/>
  <c r="I60" i="12"/>
  <c r="G58" i="12"/>
  <c r="H58" i="12" s="1"/>
  <c r="D128" i="9"/>
  <c r="B128" i="9" s="1"/>
  <c r="D39" i="12" s="1"/>
  <c r="G59" i="12" l="1"/>
  <c r="H59" i="12" s="1"/>
  <c r="I58" i="12"/>
  <c r="I59" i="12" s="1"/>
  <c r="I34" i="12"/>
  <c r="I35" i="12" s="1"/>
  <c r="I36" i="12" s="1"/>
  <c r="H33" i="12"/>
  <c r="G34" i="12"/>
  <c r="B126" i="9"/>
  <c r="D37" i="12" s="1"/>
  <c r="D127" i="9"/>
  <c r="B127" i="9" s="1"/>
  <c r="D40" i="12" s="1"/>
  <c r="G60" i="12" l="1"/>
  <c r="H60" i="12" s="1"/>
  <c r="G35" i="12"/>
  <c r="G36" i="12" s="1"/>
  <c r="H36" i="12" s="1"/>
  <c r="H34" i="12"/>
  <c r="J18" i="7"/>
  <c r="J30" i="7" s="1"/>
  <c r="K18" i="7"/>
  <c r="K30" i="7" s="1"/>
  <c r="L18" i="7"/>
  <c r="L30" i="7" s="1"/>
  <c r="M18" i="7"/>
  <c r="M30" i="7" s="1"/>
  <c r="H35" i="12" l="1"/>
  <c r="G37" i="12"/>
  <c r="H37" i="12" s="1"/>
  <c r="G18" i="7"/>
  <c r="G15" i="7" l="1"/>
  <c r="G195" i="7"/>
  <c r="G194" i="7"/>
  <c r="G193" i="7"/>
  <c r="G128" i="7"/>
  <c r="G127" i="7"/>
  <c r="G126" i="7"/>
  <c r="G125" i="7"/>
  <c r="G124" i="7"/>
  <c r="G123" i="7"/>
  <c r="G102" i="7"/>
  <c r="G101" i="7"/>
  <c r="G100" i="7"/>
  <c r="A76" i="11"/>
  <c r="G99" i="7"/>
  <c r="A75" i="11"/>
  <c r="G98" i="7"/>
  <c r="A74" i="11"/>
  <c r="G97" i="7"/>
  <c r="A73" i="11"/>
  <c r="G96" i="7"/>
  <c r="G95" i="7"/>
  <c r="G93" i="7"/>
  <c r="G91" i="7"/>
  <c r="G90" i="7"/>
  <c r="G86" i="7"/>
  <c r="G84" i="7"/>
  <c r="G82" i="7"/>
  <c r="G81" i="7"/>
  <c r="G71" i="7"/>
  <c r="G64" i="7"/>
  <c r="G52" i="7"/>
  <c r="G49" i="7"/>
  <c r="G45" i="7"/>
  <c r="G44" i="7"/>
  <c r="G43" i="7"/>
  <c r="G41" i="7"/>
  <c r="M38" i="7"/>
  <c r="L38" i="7"/>
  <c r="K38" i="7"/>
  <c r="J38" i="7"/>
  <c r="J31" i="7" s="1"/>
  <c r="L29" i="7"/>
  <c r="G27" i="7"/>
  <c r="G23" i="7"/>
  <c r="G22" i="7"/>
  <c r="G21" i="7"/>
  <c r="G20" i="7"/>
  <c r="D62" i="12" s="1"/>
  <c r="G19" i="7"/>
  <c r="M29" i="7"/>
  <c r="J29" i="7"/>
  <c r="G13" i="7"/>
  <c r="L16" i="7" l="1"/>
  <c r="L17" i="7" s="1"/>
  <c r="D56" i="12"/>
  <c r="D55" i="12"/>
  <c r="D35" i="12"/>
  <c r="D33" i="12"/>
  <c r="D34" i="12" s="1"/>
  <c r="D41" i="12"/>
  <c r="G48" i="7"/>
  <c r="D89" i="13" s="1"/>
  <c r="E89" i="13"/>
  <c r="G63" i="7"/>
  <c r="I104" i="13" s="1"/>
  <c r="E11" i="9"/>
  <c r="E87" i="9" s="1"/>
  <c r="G11" i="9"/>
  <c r="G87" i="9" s="1"/>
  <c r="H11" i="9"/>
  <c r="H87" i="9" s="1"/>
  <c r="I199" i="7"/>
  <c r="I209" i="7" s="1"/>
  <c r="I108" i="7"/>
  <c r="I192" i="7"/>
  <c r="I89" i="7"/>
  <c r="I151" i="7"/>
  <c r="I36" i="7"/>
  <c r="I134" i="7"/>
  <c r="I27" i="7"/>
  <c r="B144" i="13"/>
  <c r="B145" i="13"/>
  <c r="B146" i="13"/>
  <c r="B142" i="13"/>
  <c r="B141" i="13"/>
  <c r="I16" i="7"/>
  <c r="I17" i="7" s="1"/>
  <c r="G25" i="7"/>
  <c r="G24" i="7"/>
  <c r="K34" i="7"/>
  <c r="F11" i="9"/>
  <c r="F87" i="9" s="1"/>
  <c r="J34" i="7"/>
  <c r="G113" i="7"/>
  <c r="K31" i="7"/>
  <c r="G114" i="7"/>
  <c r="G110" i="7"/>
  <c r="K29" i="7"/>
  <c r="G119" i="7"/>
  <c r="G122" i="7"/>
  <c r="L31" i="7"/>
  <c r="L34" i="7"/>
  <c r="G109" i="7"/>
  <c r="G120" i="7"/>
  <c r="M16" i="7"/>
  <c r="M17" i="7" s="1"/>
  <c r="G115" i="7"/>
  <c r="G117" i="7"/>
  <c r="G118" i="7"/>
  <c r="G129" i="7"/>
  <c r="G116" i="7"/>
  <c r="G121" i="7"/>
  <c r="M31" i="7"/>
  <c r="M34" i="7"/>
  <c r="J16" i="7"/>
  <c r="J17" i="7" s="1"/>
  <c r="K16" i="7"/>
  <c r="K17" i="7" s="1"/>
  <c r="G31" i="7" l="1"/>
  <c r="F66" i="13"/>
  <c r="G94" i="9" s="1"/>
  <c r="D22" i="12"/>
  <c r="D66" i="13"/>
  <c r="E94" i="9" s="1"/>
  <c r="E66" i="13"/>
  <c r="F94" i="9" s="1"/>
  <c r="G66" i="13"/>
  <c r="H94" i="9" s="1"/>
  <c r="C66" i="13"/>
  <c r="F104" i="13"/>
  <c r="D52" i="13" s="1"/>
  <c r="I89" i="13"/>
  <c r="C104" i="13"/>
  <c r="E104" i="13"/>
  <c r="D42" i="13" s="1"/>
  <c r="E58" i="9" s="1"/>
  <c r="B104" i="13"/>
  <c r="D14" i="13"/>
  <c r="E36" i="9" s="1"/>
  <c r="E50" i="9" s="1"/>
  <c r="E64" i="9" s="1"/>
  <c r="E78" i="9" s="1"/>
  <c r="C14" i="13"/>
  <c r="G14" i="13"/>
  <c r="H36" i="9" s="1"/>
  <c r="H50" i="9" s="1"/>
  <c r="H64" i="9" s="1"/>
  <c r="H78" i="9" s="1"/>
  <c r="F14" i="13"/>
  <c r="G36" i="9" s="1"/>
  <c r="G50" i="9" s="1"/>
  <c r="G64" i="9" s="1"/>
  <c r="G78" i="9" s="1"/>
  <c r="E14" i="13"/>
  <c r="F36" i="9" s="1"/>
  <c r="F50" i="9" s="1"/>
  <c r="F64" i="9" s="1"/>
  <c r="F78" i="9" s="1"/>
  <c r="G116" i="13"/>
  <c r="G42" i="13"/>
  <c r="H58" i="9" s="1"/>
  <c r="D104" i="13"/>
  <c r="C89" i="13"/>
  <c r="F89" i="13"/>
  <c r="B89" i="13"/>
  <c r="G29" i="7"/>
  <c r="G105" i="7"/>
  <c r="G16" i="7"/>
  <c r="C22" i="13" l="1"/>
  <c r="D30" i="9" s="1"/>
  <c r="B30" i="9" s="1"/>
  <c r="E52" i="13"/>
  <c r="C52" i="13"/>
  <c r="D72" i="9" s="1"/>
  <c r="B72" i="9" s="1"/>
  <c r="G52" i="13"/>
  <c r="F52" i="13"/>
  <c r="C42" i="13"/>
  <c r="D58" i="9" s="1"/>
  <c r="B66" i="13"/>
  <c r="D94" i="9"/>
  <c r="B94" i="9" s="1"/>
  <c r="E42" i="13"/>
  <c r="F58" i="9" s="1"/>
  <c r="C11" i="13"/>
  <c r="E13" i="12"/>
  <c r="E9" i="12"/>
  <c r="E12" i="12"/>
  <c r="E11" i="12"/>
  <c r="E10" i="12"/>
  <c r="D36" i="9"/>
  <c r="B21" i="9"/>
  <c r="F42" i="13"/>
  <c r="G58" i="9" s="1"/>
  <c r="E11" i="13"/>
  <c r="F35" i="9" s="1"/>
  <c r="B136" i="13"/>
  <c r="G11" i="13"/>
  <c r="H35" i="9" s="1"/>
  <c r="G104" i="13"/>
  <c r="B14" i="13"/>
  <c r="F11" i="13"/>
  <c r="G35" i="9" s="1"/>
  <c r="D11" i="13"/>
  <c r="E35" i="9" s="1"/>
  <c r="D32" i="13"/>
  <c r="E44" i="9" s="1"/>
  <c r="F32" i="13"/>
  <c r="G44" i="9" s="1"/>
  <c r="C32" i="13"/>
  <c r="D44" i="9" s="1"/>
  <c r="E32" i="13"/>
  <c r="F44" i="9" s="1"/>
  <c r="G32" i="13"/>
  <c r="H44" i="9" s="1"/>
  <c r="D35" i="9" l="1"/>
  <c r="B35" i="9" s="1"/>
  <c r="B22" i="13"/>
  <c r="B52" i="13"/>
  <c r="B58" i="9"/>
  <c r="E49" i="9"/>
  <c r="E63" i="9" s="1"/>
  <c r="E77" i="9" s="1"/>
  <c r="B44" i="9"/>
  <c r="B42" i="13"/>
  <c r="F49" i="9"/>
  <c r="F63" i="9" s="1"/>
  <c r="F77" i="9" s="1"/>
  <c r="H49" i="9"/>
  <c r="H63" i="9" s="1"/>
  <c r="H77" i="9" s="1"/>
  <c r="G49" i="9"/>
  <c r="G63" i="9" s="1"/>
  <c r="G77" i="9" s="1"/>
  <c r="B20" i="9"/>
  <c r="D50" i="9"/>
  <c r="B36" i="9"/>
  <c r="B11" i="13"/>
  <c r="B32" i="13"/>
  <c r="D49" i="9" l="1"/>
  <c r="D63" i="9" s="1"/>
  <c r="D64" i="9"/>
  <c r="B50" i="9"/>
  <c r="B49" i="9" l="1"/>
  <c r="D77" i="9"/>
  <c r="B77" i="9" s="1"/>
  <c r="B63" i="9"/>
  <c r="B64" i="9"/>
  <c r="D78" i="9"/>
  <c r="B78" i="9" s="1"/>
  <c r="G40" i="7" l="1"/>
  <c r="G42" i="7"/>
  <c r="I38" i="7"/>
  <c r="D11" i="9" l="1"/>
  <c r="I34" i="7"/>
  <c r="G34" i="7" s="1"/>
  <c r="G38" i="7"/>
  <c r="I30" i="7"/>
  <c r="G30" i="7" s="1"/>
  <c r="G39" i="7"/>
  <c r="D77" i="13" s="1"/>
  <c r="I31" i="7"/>
  <c r="I77" i="13" l="1"/>
  <c r="I76" i="13" s="1"/>
  <c r="C65" i="13" s="1"/>
  <c r="C64" i="13" s="1"/>
  <c r="F77" i="13"/>
  <c r="F76" i="13" s="1"/>
  <c r="E77" i="13"/>
  <c r="E76" i="13" s="1"/>
  <c r="B77" i="13"/>
  <c r="B76" i="13" s="1"/>
  <c r="D9" i="12" s="1"/>
  <c r="G89" i="13"/>
  <c r="C77" i="13"/>
  <c r="C76" i="13" s="1"/>
  <c r="D87" i="9"/>
  <c r="B87" i="9" s="1"/>
  <c r="B11" i="9"/>
  <c r="D51" i="13" l="1"/>
  <c r="F51" i="13"/>
  <c r="G51" i="13"/>
  <c r="E51" i="13"/>
  <c r="C22" i="12"/>
  <c r="G65" i="13"/>
  <c r="D65" i="13"/>
  <c r="E65" i="13"/>
  <c r="F65" i="13"/>
  <c r="D93" i="9"/>
  <c r="D10" i="12"/>
  <c r="D76" i="13"/>
  <c r="D31" i="13" s="1"/>
  <c r="D30" i="13" s="1"/>
  <c r="G101" i="13"/>
  <c r="D21" i="13"/>
  <c r="F21" i="13"/>
  <c r="G21" i="13"/>
  <c r="E21" i="13"/>
  <c r="C21" i="13"/>
  <c r="C51" i="13"/>
  <c r="C10" i="13"/>
  <c r="G77" i="13"/>
  <c r="F41" i="13"/>
  <c r="F40" i="13" s="1"/>
  <c r="G41" i="13"/>
  <c r="G40" i="13" s="1"/>
  <c r="E41" i="13"/>
  <c r="E40" i="13" s="1"/>
  <c r="D41" i="13"/>
  <c r="D40" i="13" s="1"/>
  <c r="C41" i="13"/>
  <c r="E50" i="13" l="1"/>
  <c r="F71" i="9"/>
  <c r="F70" i="9" s="1"/>
  <c r="F20" i="13"/>
  <c r="G29" i="9"/>
  <c r="G28" i="9" s="1"/>
  <c r="G50" i="13"/>
  <c r="H71" i="9"/>
  <c r="H70" i="9" s="1"/>
  <c r="G20" i="13"/>
  <c r="H29" i="9"/>
  <c r="H28" i="9" s="1"/>
  <c r="D20" i="13"/>
  <c r="E29" i="9"/>
  <c r="E28" i="9" s="1"/>
  <c r="F50" i="13"/>
  <c r="G71" i="9"/>
  <c r="G70" i="9" s="1"/>
  <c r="E20" i="13"/>
  <c r="F29" i="9"/>
  <c r="F28" i="9" s="1"/>
  <c r="D50" i="13"/>
  <c r="E71" i="9"/>
  <c r="E70" i="9" s="1"/>
  <c r="D19" i="9"/>
  <c r="C9" i="13"/>
  <c r="F93" i="9"/>
  <c r="E64" i="13"/>
  <c r="D71" i="9"/>
  <c r="C50" i="13"/>
  <c r="E93" i="9"/>
  <c r="D64" i="13"/>
  <c r="D57" i="9"/>
  <c r="D56" i="9" s="1"/>
  <c r="C40" i="13"/>
  <c r="D29" i="9"/>
  <c r="C20" i="13"/>
  <c r="H93" i="9"/>
  <c r="G64" i="13"/>
  <c r="G93" i="9"/>
  <c r="F64" i="13"/>
  <c r="B65" i="13"/>
  <c r="D13" i="12"/>
  <c r="D11" i="12"/>
  <c r="D12" i="12"/>
  <c r="H57" i="9"/>
  <c r="H56" i="9" s="1"/>
  <c r="G57" i="9"/>
  <c r="G56" i="9" s="1"/>
  <c r="E57" i="9"/>
  <c r="E56" i="9" s="1"/>
  <c r="F57" i="9"/>
  <c r="F56" i="9" s="1"/>
  <c r="D18" i="9"/>
  <c r="E43" i="9"/>
  <c r="E42" i="9" s="1"/>
  <c r="F31" i="13"/>
  <c r="F30" i="13" s="1"/>
  <c r="E31" i="13"/>
  <c r="E30" i="13" s="1"/>
  <c r="C31" i="13"/>
  <c r="G31" i="13"/>
  <c r="G30" i="13" s="1"/>
  <c r="B41" i="13"/>
  <c r="B51" i="13"/>
  <c r="B21" i="13"/>
  <c r="G76" i="13"/>
  <c r="F10" i="13"/>
  <c r="F9" i="13" s="1"/>
  <c r="E10" i="13"/>
  <c r="E9" i="13" s="1"/>
  <c r="D10" i="13"/>
  <c r="D9" i="13" s="1"/>
  <c r="G10" i="13"/>
  <c r="G9" i="13" s="1"/>
  <c r="B20" i="13" l="1"/>
  <c r="B50" i="13"/>
  <c r="B29" i="9"/>
  <c r="D28" i="9"/>
  <c r="B28" i="9" s="1"/>
  <c r="B71" i="9"/>
  <c r="D70" i="9"/>
  <c r="B70" i="9" s="1"/>
  <c r="D34" i="9"/>
  <c r="B93" i="9"/>
  <c r="D43" i="9"/>
  <c r="D42" i="9" s="1"/>
  <c r="C30" i="13"/>
  <c r="B40" i="13"/>
  <c r="G19" i="9"/>
  <c r="H43" i="9"/>
  <c r="H42" i="9" s="1"/>
  <c r="B56" i="9"/>
  <c r="H19" i="9"/>
  <c r="E19" i="9"/>
  <c r="F43" i="9"/>
  <c r="F42" i="9" s="1"/>
  <c r="F19" i="9"/>
  <c r="G43" i="9"/>
  <c r="G42" i="9" s="1"/>
  <c r="B57" i="9"/>
  <c r="B31" i="13"/>
  <c r="B10" i="13"/>
  <c r="D33" i="9" l="1"/>
  <c r="D38" i="9"/>
  <c r="D39" i="9" s="1"/>
  <c r="D48" i="9"/>
  <c r="B9" i="13"/>
  <c r="B42" i="9"/>
  <c r="B30" i="13"/>
  <c r="D62" i="9"/>
  <c r="D66" i="9" s="1"/>
  <c r="H18" i="9"/>
  <c r="H34" i="9"/>
  <c r="G18" i="9"/>
  <c r="G34" i="9"/>
  <c r="F18" i="9"/>
  <c r="F34" i="9"/>
  <c r="E18" i="9"/>
  <c r="E34" i="9"/>
  <c r="B19" i="9"/>
  <c r="B43" i="9"/>
  <c r="E33" i="9" l="1"/>
  <c r="E38" i="9"/>
  <c r="G33" i="9"/>
  <c r="G38" i="9"/>
  <c r="G39" i="9" s="1"/>
  <c r="D47" i="9"/>
  <c r="D52" i="9"/>
  <c r="D53" i="9" s="1"/>
  <c r="F33" i="9"/>
  <c r="F38" i="9"/>
  <c r="F39" i="9" s="1"/>
  <c r="H33" i="9"/>
  <c r="H38" i="9"/>
  <c r="H39" i="9" s="1"/>
  <c r="H48" i="9"/>
  <c r="E48" i="9"/>
  <c r="B34" i="9"/>
  <c r="F48" i="9"/>
  <c r="B25" i="9"/>
  <c r="B24" i="9"/>
  <c r="D61" i="9"/>
  <c r="D76" i="9"/>
  <c r="D80" i="9" s="1"/>
  <c r="B18" i="9"/>
  <c r="G9" i="12" s="1"/>
  <c r="G48" i="9"/>
  <c r="G47" i="9" l="1"/>
  <c r="G52" i="9"/>
  <c r="G53" i="9" s="1"/>
  <c r="H47" i="9"/>
  <c r="H52" i="9"/>
  <c r="H53" i="9" s="1"/>
  <c r="F47" i="9"/>
  <c r="F52" i="9"/>
  <c r="F53" i="9" s="1"/>
  <c r="E47" i="9"/>
  <c r="E52" i="9"/>
  <c r="I9" i="12"/>
  <c r="J9" i="12" s="1"/>
  <c r="F62" i="9"/>
  <c r="F66" i="9" s="1"/>
  <c r="B33" i="9"/>
  <c r="G10" i="12" s="1"/>
  <c r="D67" i="9"/>
  <c r="H62" i="9"/>
  <c r="H66" i="9" s="1"/>
  <c r="G62" i="9"/>
  <c r="G66" i="9" s="1"/>
  <c r="E39" i="9"/>
  <c r="B39" i="9" s="1"/>
  <c r="I10" i="12" s="1"/>
  <c r="J10" i="12" s="1"/>
  <c r="B38" i="9"/>
  <c r="D75" i="9"/>
  <c r="E62" i="9"/>
  <c r="E66" i="9" s="1"/>
  <c r="B48" i="9"/>
  <c r="E76" i="9" l="1"/>
  <c r="E80" i="9" s="1"/>
  <c r="E61" i="9"/>
  <c r="E53" i="9"/>
  <c r="B53" i="9" s="1"/>
  <c r="I11" i="12" s="1"/>
  <c r="J11" i="12" s="1"/>
  <c r="B52" i="9"/>
  <c r="H61" i="9"/>
  <c r="H76" i="9"/>
  <c r="H80" i="9" s="1"/>
  <c r="H67" i="9"/>
  <c r="F76" i="9"/>
  <c r="F80" i="9" s="1"/>
  <c r="F61" i="9"/>
  <c r="F67" i="9"/>
  <c r="B47" i="9"/>
  <c r="G11" i="12" s="1"/>
  <c r="D81" i="9"/>
  <c r="B62" i="9"/>
  <c r="G61" i="9"/>
  <c r="G76" i="9"/>
  <c r="G80" i="9" s="1"/>
  <c r="G67" i="9"/>
  <c r="H75" i="9" l="1"/>
  <c r="H81" i="9"/>
  <c r="H82" i="9" s="1"/>
  <c r="E67" i="9"/>
  <c r="B67" i="9" s="1"/>
  <c r="I12" i="12" s="1"/>
  <c r="J12" i="12" s="1"/>
  <c r="B66" i="9"/>
  <c r="G81" i="9"/>
  <c r="G82" i="9" s="1"/>
  <c r="G75" i="9"/>
  <c r="D82" i="9"/>
  <c r="F75" i="9"/>
  <c r="F81" i="9"/>
  <c r="F82" i="9" s="1"/>
  <c r="B61" i="9"/>
  <c r="G12" i="12" s="1"/>
  <c r="E75" i="9"/>
  <c r="B76" i="9"/>
  <c r="B75" i="9" l="1"/>
  <c r="G13" i="12" s="1"/>
  <c r="E81" i="9"/>
  <c r="B80" i="9"/>
  <c r="E82" i="9" l="1"/>
  <c r="B82" i="9" s="1"/>
  <c r="D16" i="12" s="1"/>
  <c r="D17" i="12" s="1"/>
  <c r="B81" i="9"/>
  <c r="I13" i="12" l="1"/>
  <c r="J13" i="12" s="1"/>
  <c r="D15" i="12"/>
  <c r="F92" i="9"/>
  <c r="F98" i="9" s="1"/>
  <c r="F99" i="9" s="1"/>
  <c r="F100" i="9" s="1"/>
  <c r="B68" i="13"/>
  <c r="E92" i="9"/>
  <c r="E98" i="9" s="1"/>
  <c r="E99" i="9" s="1"/>
  <c r="E100" i="9" s="1"/>
  <c r="G92" i="9"/>
  <c r="G98" i="9" s="1"/>
  <c r="G99" i="9" s="1"/>
  <c r="G100" i="9" s="1"/>
  <c r="H92" i="9"/>
  <c r="H98" i="9" s="1"/>
  <c r="H99" i="9" s="1"/>
  <c r="H100" i="9" s="1"/>
  <c r="D92" i="9" l="1"/>
  <c r="D98" i="9" s="1"/>
  <c r="B95" i="9"/>
  <c r="B64" i="13"/>
  <c r="B92" i="9" l="1"/>
  <c r="E22" i="12" s="1"/>
  <c r="B98" i="9" l="1"/>
  <c r="D99" i="9"/>
  <c r="D100" i="9" l="1"/>
  <c r="B100" i="9" s="1"/>
  <c r="D26" i="12" s="1"/>
  <c r="B99" i="9"/>
  <c r="G22" i="12" s="1"/>
  <c r="D25" i="12" l="1"/>
  <c r="G23" i="12"/>
  <c r="H23" i="12" s="1"/>
  <c r="H22" i="12"/>
</calcChain>
</file>

<file path=xl/sharedStrings.xml><?xml version="1.0" encoding="utf-8"?>
<sst xmlns="http://schemas.openxmlformats.org/spreadsheetml/2006/main" count="994" uniqueCount="459">
  <si>
    <t>Survival - Percent of Assets</t>
  </si>
  <si>
    <t>أقل من 3 أشهر</t>
  </si>
  <si>
    <t>من 3 إلى 12 شهرًا</t>
  </si>
  <si>
    <t>من سنة إلى خمس سنوات</t>
  </si>
  <si>
    <t>أكثر من خمس سنوات</t>
  </si>
  <si>
    <t>أقل من ثلاثة أشهر</t>
  </si>
  <si>
    <t>غير محدد</t>
  </si>
  <si>
    <t>من 3 أشهر إلى 12 شهرًا</t>
  </si>
  <si>
    <t>من سنة إلى 5 سنوات</t>
  </si>
  <si>
    <t>أكثر من 5 سنوات</t>
  </si>
  <si>
    <t>اختبار الخمسة أيام</t>
  </si>
  <si>
    <t>اختبار الثلاثين يوماً</t>
  </si>
  <si>
    <t>اختبار الخمس فترات</t>
  </si>
  <si>
    <t>نسبة الموجودات السائلة غير المرهونة</t>
  </si>
  <si>
    <t>إجمالي الودائع</t>
  </si>
  <si>
    <t>الموجودات</t>
  </si>
  <si>
    <t>الودائع تحت الطلب</t>
  </si>
  <si>
    <t>نعم</t>
  </si>
  <si>
    <t>لا</t>
  </si>
  <si>
    <t>الحسابات التشغيلية</t>
  </si>
  <si>
    <t>كيانات أخرى</t>
  </si>
  <si>
    <t>التمويل قصير الأجل</t>
  </si>
  <si>
    <t>موجودات سائلة عالية الجودة</t>
  </si>
  <si>
    <t>ج- التمويل المضمون:</t>
  </si>
  <si>
    <t>نسبة صافي التمويل المستقر</t>
  </si>
  <si>
    <t>التمويل المستقر المتاح</t>
  </si>
  <si>
    <t>التمويل المستقر المطلوب</t>
  </si>
  <si>
    <t>إجمالي (المطلوبات والموجودات)</t>
  </si>
  <si>
    <t>التغير في القيمة</t>
  </si>
  <si>
    <t>الطرق</t>
  </si>
  <si>
    <t xml:space="preserve">الوصف </t>
  </si>
  <si>
    <t xml:space="preserve">الصدمة </t>
  </si>
  <si>
    <t>النوع</t>
  </si>
  <si>
    <t>الأساس المنطقي</t>
  </si>
  <si>
    <t>جانب المطلوبات</t>
  </si>
  <si>
    <t>جانب الموجودات</t>
  </si>
  <si>
    <t>نسبة تغطية السيولة</t>
  </si>
  <si>
    <t>تحليل عدم توافق آجال الاستحقاق</t>
  </si>
  <si>
    <t>نظرة عامة عن إطار اختبارات ضغط السيولة لمؤسسات الخدمات المالية الإسلامية</t>
  </si>
  <si>
    <t>التحليل الضمني للتدفقات النقدية</t>
  </si>
  <si>
    <t>حساب صافي التدفق النقدي الصادر</t>
  </si>
  <si>
    <t>تدفقات نقدية صادرة كبيرة (مفاجئة) للتمويل</t>
  </si>
  <si>
    <t>المعطيات المتماشية مع المبادئ الإرشادية رقم 6</t>
  </si>
  <si>
    <t>تخفيض المديونية اللازم القيام به من أجل الحفاظ على السيولة</t>
  </si>
  <si>
    <t xml:space="preserve"> المدخلات اللازمة لإجراء الاختبارات</t>
  </si>
  <si>
    <t>مؤسسات الخدمات المالية الإسلامية</t>
  </si>
  <si>
    <t>الإجمالي</t>
  </si>
  <si>
    <t>السنة</t>
  </si>
  <si>
    <t>الشهر</t>
  </si>
  <si>
    <t>اسم الشركة الأم</t>
  </si>
  <si>
    <t>ملكية الشركة الأم (%)</t>
  </si>
  <si>
    <t>إجمالي الموجودات</t>
  </si>
  <si>
    <t>إجمالي رأس المال التنظيمي</t>
  </si>
  <si>
    <t>الودائع تحت الطلب (الحسابات الجارية)</t>
  </si>
  <si>
    <t>التمويل طويل الأجل (صكوك أو غيرها)</t>
  </si>
  <si>
    <t>العملة المحلية</t>
  </si>
  <si>
    <t>العملة الأجنبية</t>
  </si>
  <si>
    <t>دولار أمريكي</t>
  </si>
  <si>
    <t>يورو</t>
  </si>
  <si>
    <t>ين</t>
  </si>
  <si>
    <t>الموجودات المالية المحتفظ بها حتى تاريخ الاستحقاق</t>
  </si>
  <si>
    <t>الموجودات المالية المتاحة للبيع (الاستثمارات)</t>
  </si>
  <si>
    <t>الموجودات المالية المحتفظ بها للمتاجرة</t>
  </si>
  <si>
    <t>د- متطلبات إضافية</t>
  </si>
  <si>
    <t>المطلوبات</t>
  </si>
  <si>
    <t>التمويل</t>
  </si>
  <si>
    <t>المؤسسة رقم 1</t>
  </si>
  <si>
    <t>المؤسسة رقم 2</t>
  </si>
  <si>
    <t>المؤسسة رقم 3</t>
  </si>
  <si>
    <t>المؤسسة رقم 4</t>
  </si>
  <si>
    <t>المؤسسة رقم 5</t>
  </si>
  <si>
    <t>رأس المال الأساسي</t>
  </si>
  <si>
    <t>نوع المصرف</t>
  </si>
  <si>
    <t>موحدة (= نعم)، قائمة بذاتها (= لا)</t>
  </si>
  <si>
    <t>إجمالي التعرضات لمخاطر الائتمان (بما في ذلك مخاطر ائتمان الأطراف المقابلة)</t>
  </si>
  <si>
    <t>مؤسسة مكتملة</t>
  </si>
  <si>
    <t>نسبة رأس المال الأساسي (ما قبل الصدمة)</t>
  </si>
  <si>
    <t>نسبة رأس المال الإضافي (ما قبل الصدمة)</t>
  </si>
  <si>
    <t>المعطيات اللازم إدخالها لتحليل مخاطر السيولة - الأساسية</t>
  </si>
  <si>
    <t>التجزئة</t>
  </si>
  <si>
    <t>الجملة</t>
  </si>
  <si>
    <t>مستقرة</t>
  </si>
  <si>
    <t>ودائع الجملة</t>
  </si>
  <si>
    <t>الشبكة المؤسساتية لمؤسسات الخدمات المالية الإسلامية التعاونية</t>
  </si>
  <si>
    <t>المضمون</t>
  </si>
  <si>
    <t>الموجودات الأخرى</t>
  </si>
  <si>
    <t>حقوق الملكية</t>
  </si>
  <si>
    <t>الموجودات المدعومة بموجودات</t>
  </si>
  <si>
    <t>غير المضمون</t>
  </si>
  <si>
    <t>التمويل من البنك المركزي</t>
  </si>
  <si>
    <t xml:space="preserve">التمويلات والالتزامات داخل المجموعة </t>
  </si>
  <si>
    <t>التمويل القائم على حقوق الملكية</t>
  </si>
  <si>
    <t>المطلوبات المحتملة</t>
  </si>
  <si>
    <t>الأوراق النقدية وما يعادلها</t>
  </si>
  <si>
    <t>احتياطيات البنك المركزي</t>
  </si>
  <si>
    <t>التمويلات والالتزامات داخل المجموعة</t>
  </si>
  <si>
    <t>البنود الخاصة بنسبة تغطية السيولة</t>
  </si>
  <si>
    <t>معالجات أساليب السيولة البديلة</t>
  </si>
  <si>
    <t>الحسابات التشغيلية (المغطاة بموجب نظام للتأمين على الودائع)</t>
  </si>
  <si>
    <t>المؤسسات غير المالية والكيانات السيادية والبنوك المركزية ومصارف التنمية متعددة الأطراف وكيانات القطاع العام</t>
  </si>
  <si>
    <t>المؤسسات غير المالية والكيانات السيادية والبنوك المركزية ومصارف التنمية متعددة الأطراف وكيانات القطاع العام (المغطاة بموجب نظام للتأمين على الودائع)</t>
  </si>
  <si>
    <t>التمويل المضمون والمدعوم بموجودات من المستوى 1</t>
  </si>
  <si>
    <t>التمويل المضمون والمدعوم بموجودات من المستوى 2</t>
  </si>
  <si>
    <t>التمويل المضمون والمدعوم بموجودات أخرى ذات قيمة (قريبة من المستوى 2)</t>
  </si>
  <si>
    <t>الرهونات اللازمة في حالة تخفيض التصنيف الائتماني بمقدار 3 درجات</t>
  </si>
  <si>
    <t>التسهيلات الائتمانية غير المسحوبة والملتزم بها</t>
  </si>
  <si>
    <t>التدفقات النقدية الصادرة المجدولة</t>
  </si>
  <si>
    <t>البنود الخاصة بنسبة تغطية السيولة (بالتفصيل)</t>
  </si>
  <si>
    <t>الأوراق النقدية والعملات المعدنية</t>
  </si>
  <si>
    <t>احتياطيات البنك المركزي المؤهلة (بما في ذلك الاحتياطيات المطلوبة)</t>
  </si>
  <si>
    <t>ب. موجودات المستوى 2 (حد أقصاه %40 من الموجودات السائلة عالية الجودة):</t>
  </si>
  <si>
    <t>أ. موجودات المستوى 1:</t>
  </si>
  <si>
    <t>موجودات المستوى 2أ</t>
  </si>
  <si>
    <t>موجودات المستوى 2ب (حد أقصاه %15 من الموجودات السائلة عالية الجودة)</t>
  </si>
  <si>
    <t>صافي التدفقات النقدية الصادرة</t>
  </si>
  <si>
    <t>الودائع المستقرة</t>
  </si>
  <si>
    <t>ب- التمويل بالجملة غير المضمون:</t>
  </si>
  <si>
    <t>الحسابات التشغيلية الناتجة عن أنشطة المقاصة والوصاية وإدارة النقد</t>
  </si>
  <si>
    <t>الجزء المغطى بنظام تأمين على الودائع</t>
  </si>
  <si>
    <t xml:space="preserve">مؤسسات الخدمات المالية الإسلامية التعاونية في شبكة مؤسساتية (الودائع المؤهلة التي تم إيداعها لدى المؤسسة المركزية)
إيداعها لدى المؤسسة المركزية
إيداعها لدى المؤسسة المركزية
مؤسسات الخدمات المالية الإسلامية التعاونية في شبكة مؤسساتية (الودائع المؤهلة التي تم 
إيداعها لدى المؤسسة المركزية
</t>
  </si>
  <si>
    <t>المؤسسات غير المالية، والكيانات السيادية، والبنوك المركزية، ومصارف التنمية متعددة الأطراف، وكيانات القطاع العام</t>
  </si>
  <si>
    <t>إذا كان المبلغ بأكمله مغطى من قبل نظام تأمين على الودائع</t>
  </si>
  <si>
    <t>عملاء الكيانات القانونية الأخرى</t>
  </si>
  <si>
    <t>جميع مُعامَلات التمويل المضمون الأخرى</t>
  </si>
  <si>
    <t>التمويل التجاري</t>
  </si>
  <si>
    <t>أي تدفقات نقدية صادرة تعاقدية إضافية</t>
  </si>
  <si>
    <t>أي تدفقات نقدية صادرة تعاقدية أخرى</t>
  </si>
  <si>
    <t>البنود الخاصة بصافي نسبة التمويل المستقر</t>
  </si>
  <si>
    <t>الموجودات السائلة/إجمالي الموجودات</t>
  </si>
  <si>
    <t>إجمالي التمويلات/إجمالي الودائع</t>
  </si>
  <si>
    <t>الموجودات السائلة/المطلوبات قصيرة الأجل</t>
  </si>
  <si>
    <t>المطلوبات ما بين المصارف (مخاطر عدم التجديد)</t>
  </si>
  <si>
    <t>المطلوبات طويلة الأجل (مخاطر عدم التجديد)</t>
  </si>
  <si>
    <t>النقود والصكوك الحكومية</t>
  </si>
  <si>
    <t>موجودات المتاجرة</t>
  </si>
  <si>
    <t>افتراضات الاختبارات</t>
  </si>
  <si>
    <t>نسبة التدفقات النقدية الصادرة في اليوم الواحد</t>
  </si>
  <si>
    <t>عملاء الجملة</t>
  </si>
  <si>
    <t>يمكن أن يكون تدفقات نقدية واردة</t>
  </si>
  <si>
    <t>يرجى إدخال المبلغ</t>
  </si>
  <si>
    <t>يمكن أن تكون تدفقات نقدية واردة</t>
  </si>
  <si>
    <t>هل ستبقى الموجودات سائلة؟</t>
  </si>
  <si>
    <t>نسبة الموجودات المرهونة قبل الاختبار</t>
  </si>
  <si>
    <t>نسبة الموجودات المرهونة بعد الاختبار</t>
  </si>
  <si>
    <t>الموجودات الإضافية المرهونة (بسبب طلبات تغطية الهامش)</t>
  </si>
  <si>
    <t>اختبار الفترة الواحدة</t>
  </si>
  <si>
    <t>التدفقات النقدية الصادرة-نسبة تغطية السيولة</t>
  </si>
  <si>
    <t>الموجودات السائلة عالية الجودة</t>
  </si>
  <si>
    <t>التدفقات النقدية الصادرة</t>
  </si>
  <si>
    <t xml:space="preserve"> الودائع المستقرة</t>
  </si>
  <si>
    <t>مؤسسات الخدمات المالية الإسلامية التعاونية في شبكة مؤسساتية (الودائع المؤهلة التي تم إيداعها لدى المؤسسة المركزية)</t>
  </si>
  <si>
    <t>الجزء من الموجودات المعاد استثماره</t>
  </si>
  <si>
    <t>الجزء من المطلوبات الذي يمكن تجديده أو جرى تجديده بالفعل</t>
  </si>
  <si>
    <t>المطلوبات التي جرى تجديدها</t>
  </si>
  <si>
    <t>الموجودات المُرحَلة</t>
  </si>
  <si>
    <t>أوعية آجال الاستحقاق المفصلة</t>
  </si>
  <si>
    <t>موجودات المتاجرة وعقود التحوط والأوراق المالية</t>
  </si>
  <si>
    <t>التمويلات</t>
  </si>
  <si>
    <t xml:space="preserve"> نتائج اختبارات الضغط</t>
  </si>
  <si>
    <t>تعريف السيناريو</t>
  </si>
  <si>
    <t>النظام</t>
  </si>
  <si>
    <t>الفترة الأولى</t>
  </si>
  <si>
    <t>الفترة الثانية</t>
  </si>
  <si>
    <t>الفترة الثالثة</t>
  </si>
  <si>
    <t>الفترة الرابعة</t>
  </si>
  <si>
    <t>الفترة الخامسة</t>
  </si>
  <si>
    <t>إجمالي العجز في السيولة (0 في حال عدم وجود عجز)</t>
  </si>
  <si>
    <t>اليوم الثلاثين</t>
  </si>
  <si>
    <t>إجمالي الموجودات عالية الجودة</t>
  </si>
  <si>
    <t>إجمالي التمويل المستقر المتاح</t>
  </si>
  <si>
    <t>إجمالي التمويل المستقر المطلوب</t>
  </si>
  <si>
    <t>غير متاح</t>
  </si>
  <si>
    <t>نطاق الصناعة</t>
  </si>
  <si>
    <t>الوضع قبل الاختبار</t>
  </si>
  <si>
    <t>إجمالي التمويل قصير الأجل (الجملة)</t>
  </si>
  <si>
    <t>إجمالي تدفقات التمويل الصادرة</t>
  </si>
  <si>
    <t>تدفقات الودائع الصادرة</t>
  </si>
  <si>
    <t>تدفقات الموجودات الواردة (من خلال البيع بأسعار بخسة)</t>
  </si>
  <si>
    <t>صافي التدفقات النقدية الواردة منذ بداية الاختبار</t>
  </si>
  <si>
    <t>انعدام السيولة؟ 0 = لا / 1 = نعم</t>
  </si>
  <si>
    <t>إجمالي تدفقات التمويل الصادرة (اليوم الأول)</t>
  </si>
  <si>
    <t>إجمالي تدفقات التمويل الصادرة (اليوم الثاني)</t>
  </si>
  <si>
    <t>تدفقات الودائع الصادرة (اليوم الثاني)</t>
  </si>
  <si>
    <t>تدفقات التمويل الصادرة التراكمية (بعد اليوم الثاني)</t>
  </si>
  <si>
    <t xml:space="preserve">تدفقات الودائع الصادرة التراكمية </t>
  </si>
  <si>
    <t>الخسارة التراكمية للتمويل بالجملة</t>
  </si>
  <si>
    <t xml:space="preserve"> طريقة الحساب</t>
  </si>
  <si>
    <t>ملخص النتائج الإجمالية لتحليل السيولة</t>
  </si>
  <si>
    <t>اليوم الأول</t>
  </si>
  <si>
    <t>اليوم الثاني</t>
  </si>
  <si>
    <t>اليوم الثالث</t>
  </si>
  <si>
    <t>اليوم الرابع</t>
  </si>
  <si>
    <t>اليوم الخامس</t>
  </si>
  <si>
    <t>نقص السيولة</t>
  </si>
  <si>
    <t>نسبة الموجودات</t>
  </si>
  <si>
    <t>نسبة إجمالي الموجودات</t>
  </si>
  <si>
    <t>&lt; 0.25</t>
  </si>
  <si>
    <t>0.25 - 0.5</t>
  </si>
  <si>
    <t>0.5 - 0.75</t>
  </si>
  <si>
    <t>0.75 - 1</t>
  </si>
  <si>
    <t>متوسط نسبة تغطية السيولة (المتوسط المرجح)</t>
  </si>
  <si>
    <t>"اجتازت"</t>
  </si>
  <si>
    <t>&gt;1</t>
  </si>
  <si>
    <t xml:space="preserve">وسيط نسبة تغطية السيولة </t>
  </si>
  <si>
    <t>اختبار 3 تحليل عدم توافق آجال الاستحقاق</t>
  </si>
  <si>
    <t>الوعاء</t>
  </si>
  <si>
    <t>صافي نسبة التمويل المستقر</t>
  </si>
  <si>
    <t>متوسط نسبة صافي التمويل المستقر</t>
  </si>
  <si>
    <t>وسيط نسبة صافي التمويل المستقر</t>
  </si>
  <si>
    <t xml:space="preserve">اختبار 2 نسبة تغطية السيولة </t>
  </si>
  <si>
    <t>إجمالي تدفقات التمويل الصادرة (اليوم الثالث)</t>
  </si>
  <si>
    <t>تدفقات الودائع الصادرة (اليوم الثالث)</t>
  </si>
  <si>
    <t>تدفقات التمويل الصادرة التراكمية (بعد اليوم الثالث)</t>
  </si>
  <si>
    <t>التغيرات الطارئة على مصادر التمويل الأخرى</t>
  </si>
  <si>
    <t>التغيرات الطارئة على مصادر التمويل الأخرى (اليوم الثاني)</t>
  </si>
  <si>
    <t>التغيرات الطارئة على مصادر التمويل الأخرى (اليوم الثالث)</t>
  </si>
  <si>
    <t>التغيرات الطارئة على مصادر التمويل الأخرى (اليوم الرابع)</t>
  </si>
  <si>
    <t>تدفقات الودائع الصادرة (اليوم الرابع)</t>
  </si>
  <si>
    <t>إجمالي تدفقات التمويل الصادرة (اليوم الرابع)</t>
  </si>
  <si>
    <t>تدفقات التمويل الصادرة التراكمية (بعد اليوم الرابع)</t>
  </si>
  <si>
    <t>إجمالي تدفقات التمويل الصادرة (اليوم الخامس)</t>
  </si>
  <si>
    <t>تدفقات الودائع الصادرة (اليوم الخامس)</t>
  </si>
  <si>
    <t>التغيرات الطارئة على مصادر التمويل الأخرى (اليوم الخامس)</t>
  </si>
  <si>
    <t>تدفقات التمويل الصادرة التراكمية (بعد اليوم الخامس)</t>
  </si>
  <si>
    <t>تدفقات التمويل بالجملة الصادرة (اليوم الثاني)</t>
  </si>
  <si>
    <t>تدفقات التمويل بالجملة الصادرة (اليوم الثالث)</t>
  </si>
  <si>
    <t>تدفقات التمويل بالجملة الصادرة التراكمية</t>
  </si>
  <si>
    <t>تدفقات التمويل بالجملة الصادرة (اليوم الرابع)</t>
  </si>
  <si>
    <t xml:space="preserve">تدفقات التمويل بالجملة الصادرة </t>
  </si>
  <si>
    <t>تدفقات التمويل بالجملة الصادرة (اليوم الخامس)</t>
  </si>
  <si>
    <t>اختبار 2: اختبار ضغط نسبة تغطية السيولة 
اختبارات الضغط</t>
  </si>
  <si>
    <t>تطبيق الحد الأقصى على الموجودات السائلة من المستوى 2 (إلى 40% من الموجودات السائلة من المستوى 1)؟</t>
  </si>
  <si>
    <t>مخزون الموجودات السائلة عالية الجودة</t>
  </si>
  <si>
    <t>المستوى 1</t>
  </si>
  <si>
    <t>المستوى 2</t>
  </si>
  <si>
    <t>إجمالي الموجودات عالية الجودة (نسبتها من إجمالي الموجودات)</t>
  </si>
  <si>
    <t>حساب التدفقات النقدية الصادرة المحتملة</t>
  </si>
  <si>
    <t>تدفقات ودائع التجزئة الصادرة</t>
  </si>
  <si>
    <t>تدفقات التمويل بالجملة غير المضمون الصادرة</t>
  </si>
  <si>
    <t>تدفقات التمويل المضمون الصادرة</t>
  </si>
  <si>
    <t>تدفقات تعاقدية صادرة أخرى</t>
  </si>
  <si>
    <t>إجمالي التدفقات النقدية الصادرة</t>
  </si>
  <si>
    <t>حساب التدفقات النقدية الواردة</t>
  </si>
  <si>
    <t>التدفقات النقدية الواردة</t>
  </si>
  <si>
    <t>فائض/نقص السيولة</t>
  </si>
  <si>
    <t>التمويل المتاح/التمويل المطلوب</t>
  </si>
  <si>
    <t>التدفقات التراكمية للفترات الخمس</t>
  </si>
  <si>
    <t>إجمالي الموجودات السائلة عالية الجودة</t>
  </si>
  <si>
    <t>التغيرات التراكمية الطارئة على مصادر التمويل الأخرى</t>
  </si>
  <si>
    <t>اختبار 3: صافي نسبة التمويل المستقر</t>
  </si>
  <si>
    <t>عدد المصارف التي لم تجتز الاختبار</t>
  </si>
  <si>
    <t>تدفقات التمويل الصادرة</t>
  </si>
  <si>
    <t>النسبة المئوية</t>
  </si>
  <si>
    <t>صافي تدفقات التمويل الصادرة</t>
  </si>
  <si>
    <t>إجمالي تدفقات التمويل الواردة</t>
  </si>
  <si>
    <t>نسبة التدفقات النقدية الصادرة للفترة الأولى</t>
  </si>
  <si>
    <t>الفترة الإضافية الثانية</t>
  </si>
  <si>
    <t>الفترة الإضافية الثالثة</t>
  </si>
  <si>
    <t>الفترة الإضافية الرابعة</t>
  </si>
  <si>
    <t>الفترة الإضافية الخامسة</t>
  </si>
  <si>
    <t>التمويل طويل الأجل</t>
  </si>
  <si>
    <t xml:space="preserve"> نسبة تغطية السيولة</t>
  </si>
  <si>
    <t>أ. موجودات المستوى 1</t>
  </si>
  <si>
    <t>إجمالي الموجودات (الربع)</t>
  </si>
  <si>
    <t xml:space="preserve">اختبار 2.2 تحليل عدم توافق آجال الاستحقاق/تحليل مخاطر عدم التجديد </t>
  </si>
  <si>
    <t>العدد التراكمي للمصارف التي تعاني من نقص في السيولة</t>
  </si>
  <si>
    <t>التدفقات التراكمية الصادرة خلال 30 فترة (النسبة المئوية)</t>
  </si>
  <si>
    <t>نقص في وعاء أجل الاستحقاق الأول؟ 0= لا / 1 = نعم</t>
  </si>
  <si>
    <t>النتيجة على مستوى الصناعة</t>
  </si>
  <si>
    <t>إجمالي عدد المصارف التي خضعت للاختبار</t>
  </si>
  <si>
    <t>اختبار 1-أ: الاختبار الضمني للتدفقات النقدية (5 أيام)</t>
  </si>
  <si>
    <t>الاختبار الضمني للتدفقات النقدية</t>
  </si>
  <si>
    <t>اختبار 1-أ: الاختبار الضمني للتدفقات النقدية: محاكاة التهافت على سحب الودائع - اختبار الخمسة أيام</t>
  </si>
  <si>
    <t>الخسارة التراكمية للتمويل قصير الأجل (النسبة من الإجمالي وافتراضات الاختبار)</t>
  </si>
  <si>
    <t>الخسارة الإجمالية التراكمية للتمويل (النسبة من الإجمالي وافتراضات الاختبار)</t>
  </si>
  <si>
    <t>الحد الأدنى لعدد فترات الصمود</t>
  </si>
  <si>
    <t>عدد المصارف غير السائلة</t>
  </si>
  <si>
    <t>نسبة صمود مؤسسات الخدمات المالية الإسلامية</t>
  </si>
  <si>
    <t>عدد مؤسسات الخدمات المالية الإسلامية التي اجتازت الاختبار خلال الفترات الخمس</t>
  </si>
  <si>
    <t>نسبة نقص السيولة من إجمالي الموجودات</t>
  </si>
  <si>
    <t>السحب التراكمي للودائع (النسبة من الإجمالي)</t>
  </si>
  <si>
    <t>الخسائر التراكمية للتمويل قصير الأجل (النسبة من الإجمالي)</t>
  </si>
  <si>
    <t>الخسائر الإجمالية التراكمية للتمويل (النسبة من الإجمالي)</t>
  </si>
  <si>
    <t>الصمود</t>
  </si>
  <si>
    <t>عدد المصارف</t>
  </si>
  <si>
    <t>نسبة المصارف</t>
  </si>
  <si>
    <t>عدد مؤسسات الخدمات المالية الإسلامية التي لم تجتز الاختبار</t>
  </si>
  <si>
    <t>إجمالي الموجودات عالية الجودة ( النسبة من إجمالي الموجودات)</t>
  </si>
  <si>
    <t>التدفقات النقدية الواردة الأخرى (النسبة من إجمالي الموجودات)</t>
  </si>
  <si>
    <t>إجمالي التدفقات النقدية الواردة (النسبة من إجمالي الموجودات)</t>
  </si>
  <si>
    <t>إجمالي التدفقات النقدية الصادرة (النسبة من إجمالي الموجودات)</t>
  </si>
  <si>
    <t>"أخفقت"</t>
  </si>
  <si>
    <t>اختبار 4 نسبة صافي التمويل المستقر</t>
  </si>
  <si>
    <t>التمويل المستقر المتاح (النسبة من إجمالي الموجودات)</t>
  </si>
  <si>
    <t>التمويل المستقر المطلوب (النسبة من إجمالي الموجودات)</t>
  </si>
  <si>
    <t>مخاطر السيولة</t>
  </si>
  <si>
    <t>هذا الإصدار:</t>
  </si>
  <si>
    <t>بيانات من القوائم المالية، وبيانات من الجهات التنظيمية</t>
  </si>
  <si>
    <t>الصكوك الحكومية وأدوات الخزانة وغيرها من التعرضات ذات وزن مخاطر مقداره 0٪</t>
  </si>
  <si>
    <t>منتجات التحوط</t>
  </si>
  <si>
    <t>ودائع التجزئة</t>
  </si>
  <si>
    <t>ملاحظة: من المستبعد سحب التمويل طويل الأجل في غضون أيام قليلة</t>
  </si>
  <si>
    <t>الافتراضات مبنية على...</t>
  </si>
  <si>
    <t>على نطاق السوق/موحدة</t>
  </si>
  <si>
    <t>نسبة الموجودات التي تم تمديدها</t>
  </si>
  <si>
    <t>حسابات التجزئة للاستثمار المطلق القائم على المشاركة في الأرباح</t>
  </si>
  <si>
    <t>حسابات الجملة للاستثمار المطلق القائم على المشاركة في الأرباح</t>
  </si>
  <si>
    <t>نطاق النظام</t>
  </si>
  <si>
    <t xml:space="preserve">أسهم حقوق الملكية المؤهلة والمتوافقة مع أحكام الشريعة ومبادئها </t>
  </si>
  <si>
    <t>أدوات السيولة الأخرى المؤهلة والمتوافقة مع أحكام الشريعة ومبادئها، والتي يتم استخدامها على نطاق واسع في الدولة الأم</t>
  </si>
  <si>
    <t>الأوراق المالية المؤهلة والمتوافقة مع أحكام الشريعة ومبادئها (بما في ذلك الأوراق التجارية)، والصكوك التي تستوفي جميع الشروط</t>
  </si>
  <si>
    <t>اختبار الثلاثين يومًا</t>
  </si>
  <si>
    <t>التدفقات النقدية الصادرة التراكمية خلال 30 يومًا (%)</t>
  </si>
  <si>
    <t>أقل استقرارًا</t>
  </si>
  <si>
    <t xml:space="preserve">   منها: الموجودات السائلة (وفقًا للسيناريو)</t>
  </si>
  <si>
    <t xml:space="preserve">   منها: الموجودات غير السائلة (وفقًا للسيناريو)</t>
  </si>
  <si>
    <t>اختبار 1-ب: الاختبار الضمني للتدفقات النقدية: محاكاة التهافت على سحب الودائع - اختبار الثلاثين يومًا</t>
  </si>
  <si>
    <t>الموجودات السائلة (وفقًا للسيناريو)</t>
  </si>
  <si>
    <t>الموجودات غير السائلة (وفقًا للسيناريو)</t>
  </si>
  <si>
    <t>إجمالي التدفقات النقدية الواردة (المبالغ الواردة من عملاء التجزئة والجملة بوصفهم أطرافًا مقابلة)</t>
  </si>
  <si>
    <t>ناقصًا منها: الجزء المسدد من الموجودات المعاد استثماره</t>
  </si>
  <si>
    <t>الودائع المستقرة (نظام التأمين على الودائع المتوافق مع أحكام الشريعة ومبادئها يستوفي معايير إضافية)</t>
  </si>
  <si>
    <t>الودائع تحت الطلب، والودائع لأجل (أقل من 30 يومًا على أجل الاستحقاق)</t>
  </si>
  <si>
    <t>ودائع التجزئة الأقل استقرارًا</t>
  </si>
  <si>
    <t>الودائع الأقل استقرارًا</t>
  </si>
  <si>
    <t>العدد التراكمي لمؤسسات الخدمات المالية الإسلامية التي تعاني نقصًا</t>
  </si>
  <si>
    <t xml:space="preserve">التزامات التمويل المحتملة الأخرى والتحوط المتوافق مع أحكام الشريعة ومبادئها (مثل الضمانات وخطابات الاعتماد والتسهيلات الائتمانية وتسهيلات السيولة القابلة للإلغاء وما إلى ذلك) </t>
  </si>
  <si>
    <t>التدفقات النقدية الواردة المجدولة خلال الثلاثين يومًا المقبلة</t>
  </si>
  <si>
    <t>أسهم حقوق الملكية المؤهلة والمتوافقة مع أحكام الشريعة ومبادئها</t>
  </si>
  <si>
    <t>أدوات التحوط المتوافق مع أحكام الشريعة ومبادئها</t>
  </si>
  <si>
    <t>التدفقات النقدية الواردة (تدريجيًا لخمس فترات أو لفترة تراكمية واحدة أطول)</t>
  </si>
  <si>
    <t>تدفقات الأموال الواردة من بيع الموجودات السائلة غير المرهونة بأسعار منخفضة (السيناريو)</t>
  </si>
  <si>
    <t>إجمالي الموجودات (سقف الموجودات)</t>
  </si>
  <si>
    <t>اشتُق إطار اختبار ضغط السيولة لمؤسسات الخدمات المالية الإسلامية من نموذج اختبار الضغط لمارتن شيهاك (2007) (ذو التفصيل الأعلى، لا سيما في جانب الموجودات واستخدام الحسومات)، ونموذج اختبار الضغط من الجيل التالي لشميدر وآخرين معه (2012)  وذلك فيما يتعلق  بنسبة تغطية السيولة ونسبة صافي التمويل المستقر مع الأخذ بالاعتبار خصوصيات مؤسسات الخدمات المالية الإسلامية. يتألف هذا الإطار من أربعة نماذج، هي كالآتي: التحليل الضمني للتدفقات النقدية (لمدة 5 أيام و 30 يومًا)، وتحليل عدم توافق آجال الاستحقاق، ونسبة تغطية السيولة، ونسبة صافي التمويل المستقر. وبالتالي فقد تم إدراج الإطار التنظيمي لمخاطر السيولة الذي صدر مؤخرًا (نسبة تغطية السيولة ونسبة صافي التمويل المستقر) لاختبارات ضغط السيولة.</t>
  </si>
  <si>
    <t>يتم فرض حسومات على أنواع مختلفة من الموجودات حسب خصائصها (موجودات المستوى 1، والمستوى 2أ، و 2ب)</t>
  </si>
  <si>
    <t>تطبيق الحسومات على الموجودات السائلة، وذلك لإحداث موازنة في الفجوات التمويلية</t>
  </si>
  <si>
    <t>يشبه التحليل الضمني للتدفقات النقدية نسبة تغطية السيولة بموجب مقررات بازل 3 وقد تمت معايرته وفق المبادئ الإرشادية رقم 6</t>
  </si>
  <si>
    <t>تدفقات نقدية صادرة يبلغ مقدارها 30% من التمويل في غضون شهر واحد، أو تدفقات نقدية صادرة يبلغ مقدارها 5% من التمويل خلال خمسة أيام متوالية</t>
  </si>
  <si>
    <t>تعد 10% من إجمالي الموجودات، موجودات سائلة (نقد أو أوراق مالية حكومية أو صكوك)، ونسبة 90% من الموجودات السائلة غير مقيدة، حيث تفرض حسومات يبلغ مقدارها 0% (للنقد) و 5% ( للصكوك السيادية المتوافقة مع أحكام الشريعة ومبادئها/الصكوك)، و 10%  (للصكوك الأخرى)</t>
  </si>
  <si>
    <t>تعديل اختبار السيولة حسب نموذج اختبار الضغط لشيهاك (2007) ونموذج اختبار الضغط من الجيل التالي  لشميدر وآخرين معه (2012)  بناءً على خصوصيات مؤسسات الخدمات المالية الإسلامية (التفصيل الأعلى، لا سيما في جانب الموجودات واستخدام الحسومات)</t>
  </si>
  <si>
    <t xml:space="preserve">تشبه نسبة تغطية السيولة التحليل الضمني للتدفقات النقدية بموجب مقررات بازل 3، وقد تمت معايرتها لتتناسب مع مؤسسات الخدمات المالية الإسلامية وفق المبادئ الإرشادية رقم 6 </t>
  </si>
  <si>
    <t>مقارنة هيكل آجال استحقاق الموجودات والمطلوبات من أجل تحديد فجوات التمويل في ظل سيناريوهات مختلفة</t>
  </si>
  <si>
    <t>حساب التمويل المستقر</t>
  </si>
  <si>
    <t>محاكاة للتمويل الخاضع للتمديد</t>
  </si>
  <si>
    <t>محاكاة تعويض خسارة التمويل من قبل الموجودات السائلة في ظل افتراضات محددة</t>
  </si>
  <si>
    <t>حساب التمويل المستقر المطلوب الناتج عن الأنشطة التجارية</t>
  </si>
  <si>
    <t>لا يمكن تمديد 20% من التمويل المستحق خلال الاثني عشر شهرًا المقبلة</t>
  </si>
  <si>
    <t>الزيادة في التدفقات النقدية الصادرة والانخفاض في التدفقات الواردة.  يتم تحديد معطيات تمديد التمويل من قبل الفريق الذي يقوم بإجراء اختبار الضغط</t>
  </si>
  <si>
    <t>ودائع الجملة لأجل</t>
  </si>
  <si>
    <t>صافي الدخل (بعد حسم ضرائب السنة السابقة)</t>
  </si>
  <si>
    <t>الحسم (في حالة البيع بأسعار بخسة)</t>
  </si>
  <si>
    <t>القيمة بعد الحسم</t>
  </si>
  <si>
    <t>الحسم (الناجم عن طلبات تغطية الهامش، إلخ...)</t>
  </si>
  <si>
    <t>الحسم (الناجم عن طلبات تغطية الهامش)</t>
  </si>
  <si>
    <t>نسبة الحسم للمطلوبات التي يمكن تجديدها</t>
  </si>
  <si>
    <t>اختبار 1-ب الاختبار الضمني للتدفقات النقدية (30 يومًا)</t>
  </si>
  <si>
    <t/>
  </si>
  <si>
    <t xml:space="preserve"> نسبة صافي التمويل المستقر هي جزء من اختبار السيولة الذي سيطرح باعتباره جزءًا من مقررات بازل 3/المبادئ الإرشادية رقم 6، والغرض منه تقييم استقرار مصادر تمويل مؤسسة الخدمات المالية الإسلامية بشكل أكثر هيكلية</t>
  </si>
  <si>
    <t>الحصة السوقية في قطاع المصرفية الإسلامية (الموجودات)</t>
  </si>
  <si>
    <t>الحصة السوقية في القطاع المصرفي (الموجودات)</t>
  </si>
  <si>
    <t>إجمالي المطلوبات الناشئة عن التمويل الممنوح للمؤسسة</t>
  </si>
  <si>
    <t>الموجودات السائلة ( التي رفعت بها تقارير على سبيل المثال وفق تعريف المؤسسة)</t>
  </si>
  <si>
    <t>التمويل الممنوح من البنك المركزي</t>
  </si>
  <si>
    <t>التمويلات (العملاء/المؤسسات المالية)</t>
  </si>
  <si>
    <t>موجودات المستوى 1</t>
  </si>
  <si>
    <t>موجودات المستوى 2ب</t>
  </si>
  <si>
    <t>مؤسسات الخدمات المالية الإسلامية التعاونية في شبكة مؤسساتية</t>
  </si>
  <si>
    <t xml:space="preserve">مطلوبات التمويل المحتملة الأخرى والتحوط المتوافق مع أحكام الشريعة ومبادئها (مثل الضمانات وخطابات الاعتماد والتسهيلات الائتمانية وتسهيلات السيولة القابلة للإلغاء وما إلى ذلك) </t>
  </si>
  <si>
    <t xml:space="preserve">التدفقات النقدية الصادرة المخطط لها والمرتبطة بتجديد التمويلات أو منح تمويلات جديدة (التجزئة أو الجملة) </t>
  </si>
  <si>
    <t>الشركات الصغيرة والمتوسطة</t>
  </si>
  <si>
    <t xml:space="preserve">الصكوك المؤهلة، والأوراق المالية الأخرى المتوافقة مع أحكام الشريعة ومبادئها والقابلة للتسويق، الصادرة أو المضمونة من قبل الكيانات السيادية أو البنوك المركزية أو كيانات القطاع العام أو مصارف التنمية متعددة الأطراف أو المنظمات الدولية ذات الصلة، والتي يخصص لها وزن مخاطر يبلغ %0 بالنسبة لمخاطر الائتمان وفق المعيار رقم 15
الشريعة، التي إما أن تمثل مطالبات على كيانات سيادية أو بنوك مركزية أو كيانات 
القطاع العام أو مصارف التنمية متعددة الأطراف أو المنظمات الدولية ذات الصلة،
أو تكون مضمونة من قبلها
الشريعة، التي إما أن تمثل مطالبات على كيانات سيادية أو بنوك مركزية أو كيانات 
القطاع العام أو مصارف التنمية متعددة الأطراف أو المنظمات الدولية ذات الصلة،
أو تكون مضمونة من قبلها
الشريعة، التي إما أن تمثل مطالبات على كيانات سيادية أو بنوك مركزية أو كيانات 
القطاع العام أو مصارف التنمية متعددة الأطراف أو المنظمات الدولية ذات الصلة،
أو تكون مضمونة من قبلها أو المنظمات الدولية المعنية وزن مخاطر بنسبة 0% فيما يتعلق بمخاطر الائتمان وفق المعيار رقم 15. </t>
  </si>
  <si>
    <t>الصكوك المؤهلة المقومة بالعملة المحلية، والأوراق المالية الأخرى المتوافقة مع أحكام الشريعة ومبادئها والقابلة للتسويق، الصادرة من قبل الكيانات السيادية أو البنوك المركزية، والتي لديها وزن مخاطر يبلغ 0%</t>
  </si>
  <si>
    <t>الصكوك المؤهلة المقومة بعملات أجنبية، والأوراق المالية الأخرى المتوافقة مع أحكام الشريعة ومبادئها والقابلة للتسويق، الصادرة من قبل الكيانات السيادية أو البنوك المركزية، والتي ليس لديها وزن مخاطر يبلغ 0%</t>
  </si>
  <si>
    <t xml:space="preserve">الأوراق المالية المتوافقة مع أحكام الشريعة ومبادئها والقابلة للتسويق، الصادرة أو المضمونة من قبل الكيانات السيادية أو البنوك المركزية أو كيانات القطاع العام أو مصارف التنمية متعددة الأطراف أو المنظمات الدولية ذات الصلة، والتي يخصص لها وزن مخاطر يبلغ %20
بالنسبة لمخاطر الائتمان وفق المعيار رقم 15. </t>
  </si>
  <si>
    <t>الصكوك المؤهلة والأوراق المالية الأخرى المتوافقة مع أحكام الشريعة ومبادئها</t>
  </si>
  <si>
    <t>الودائع تحت الطلب، والودائع لأجل (أقل من 30 يومًا على أجل الاستحقاق) الممنوحة من الشركات الصغيرة
عملاء المشاريع التجارية الصغيرة
الودائع تحت الطلب، والودائع لأجل (أقل من ثلاثين يوماً على أجل الاستحقاق) المُوفرَة من قبل 
عملاء المشاريع التجارية الصغيرة
الودائع تحت الطلب، والودائع لأجل (أقل من ثلاثين يوماً على أجل الاستحقاق) المُوفرَة من قبل 
عملاء المشاريع التجارية الصغيرة
:</t>
  </si>
  <si>
    <t>التسهيلات الائتمانية وتسهيلات السيولة غير المسحوبة الممنوحة لعملاء التجزئة والشركات الصغيرة</t>
  </si>
  <si>
    <t>التسهيلات الائتمانية غير المسحوبة الممنوحة للمؤسسات غير المالية، والكيانات السيادية، والبنوك المركزية، وكيانات القطاع العام، ومصارف التنمية متعددة الأطراف</t>
  </si>
  <si>
    <t>الالتزامات التعاقدية الأخرى المقدمة للمؤسسات المالية</t>
  </si>
  <si>
    <t>التسهيلات الائتمانية غير المسحوبة والملتزم بها الممنوحة لعملاء التجزئة والشركات الصغيرة</t>
  </si>
  <si>
    <t>النقود؛ جميع احتياطيات البنك المركزي؛ جميع المطالبات على البنوك المركزية ذات آجال استحقاق متبقية تقل عن ستة أشهر؛ مستحقات "تاريخ المتاجرة" الناشئة عن بيع أدوات مالية وعملات أجنبية وسلع</t>
  </si>
  <si>
    <t>موجودات المستوى 1 غير المقيدة، باستثناء الأوراق النقدية والعملات المعدنية واحتياطيات البنك المركزي</t>
  </si>
  <si>
    <t xml:space="preserve">التمويلات غير المقيدة الممنوحة للمؤسسات المالية ذات آجال استحقاق متبقية تقل عن ستة أشهر، عندما يكون التمويل مدعومًا بموجودات من المستوى 1
</t>
  </si>
  <si>
    <t>جميع التمويلات الأخرى غير المقيدة الممنوحة للمؤسسات المالية ذات آجال استحقاق متبقية تقل عن ستة أشهر غير المندرجة في الفئات المذكورة آنفًا؛ موجودات المستوى 2أ غير المقيدة</t>
  </si>
  <si>
    <t xml:space="preserve">موجودات المستوى 2ب غير المقيدة؛ الموجودات السائلة عالية الجودة المقيدة لفترة ستة أشهر أو أكثر وأقل من سنة واحدة؛ التمويلات الممنوحة للمؤسسات المالية والبنوك المركزية ذات آجال استحقاق متبقية تتراوح ما بين ستة أشهر وأقل من سنة واحدة؛ الودائع المحتفظ بها لدى المؤسسات المالية الأخرى لأغراض تشغيلية؛ جميع الموجودات الأخرى غير المندرجة في الفئات المذكورة آنفًا ذات آجال استحقاق متبقية تقل عن سنة واحدة، بما في ذلك التمويلات الممنوحة للمؤسسات غير المالية، والتمويلات الممنوحة لعملاء التجزئة والشركات الصغيرة، والتمويلات الممنوحة للكيانات السيادية وكيانات القطاع العام
</t>
  </si>
  <si>
    <t>التمويلات العقارية السكنية غير المقيدة ذات آجال استحقاق متبقية لسنة واحدة أو أكثر وبوزن مخاطر يقل عن أو يساوي %35 وفق الطريقة المعيارية؛ التمويلات غير المقيدة الأخرى، وغير المندرجة في الفئات المذكورة آنفًا عدا التمويلات الممنوحة للمؤسسات المالية ذات آجال استحقاق متبقية لسنة واحدة أو أكثر وبوزن مخاطر يقل عن أو يساوي %35 وفق الطريقة المعيارية</t>
  </si>
  <si>
    <t>النقود أو الأوراق المالية أو الموجودات الأخرى المستخدمة باعتبارها هامشًا مبدئيًا لعقود التحوط المتوافق مع أحكام الشريعة ومبادئها والنقود أو الموجودات الأخرى المقدمة للإسهام في صندوق التعثر لدى طرف مقابل مركزي؛ التمويلات الأخرى المنتظمة غير المقيدة وبوزن مخاطر أكثر من %35 وفق الطريقة المعيارية وذات آجال استحقاق متبقية لسنة واحدة أو أكثر، عدا التمويلات الممنوحة للمؤسسات المالية؛ الأوراق المالية غير المقيدة وغير المتعثرة وغير المؤهلة لأن تكون موجودات سائلة عالية الجودة ذات آجال استحقاق متبقية لسنة واحدة أو أكثر وحقوق الملكية المتداولة في البورصة؛ السلع المادية المتداولة</t>
  </si>
  <si>
    <t>التدفقات النقدية الصادرة ( 5 أيام و 30 يومًا)</t>
  </si>
  <si>
    <t>ودائع التجزئة وودائع الشركات الصغيرة</t>
  </si>
  <si>
    <t>ودائع العملاء والحسابات الاستثمارية المطلقة القائمة على المشاركة في الأرباح/إجمالي الموجودات</t>
  </si>
  <si>
    <t>إجمالي ودائع العملاء/الحسابات الاستثمارية المطلقة القائمة على المشاركة في الأرباح</t>
  </si>
  <si>
    <t>الودائع لأجل/الحسابات الاستثمارية المطلقة القائمة على المشاركة في الأرباح</t>
  </si>
  <si>
    <t>ودائع التجزئة لأجل/الحسابات الاستثمارية المطلقة القائمة على المشاركة في الأرباح</t>
  </si>
  <si>
    <t>الحسابات الاستثمارية المقيدة القائمة على المشاركة في الأرباح</t>
  </si>
  <si>
    <t>الحسابات الاستثمارية المقيدة القائمة على المشاركة في الأرباح ذات آجال استحقاق أقل من 5 أيام</t>
  </si>
  <si>
    <t>الحسابات الاستثمارية المقيدة القائمة على المشاركة في الأرباح ذات آجال استحقاق أقل من 30 يومًا</t>
  </si>
  <si>
    <t>الحسابات الاستثمارية المقيدة القائمة على المشاركة في الأرباح ذات آجال استحقاق تقل عن 30 يومًا</t>
  </si>
  <si>
    <t>الاستثمار في الموجودات السائلة عالية الجودة للحسابات الاستثمارية المقيدة القائمة على المشاركة في الأرباح</t>
  </si>
  <si>
    <t>أ- ودائع التجزئة والحسابات الاستثمارية القائمة على المشاركة في الأرباح:</t>
  </si>
  <si>
    <t>الودائع لأجل والحسابات الاستثمارية المقيدة القائمة على المشاركة في الأرباح ذات آجال استحقاق متبقية تزيد عن 30 يومًا</t>
  </si>
  <si>
    <t>الودائع و/أو الحسابات الاستثمارية المطلقة القائمة على المشاركة في الأرباح المستقرة ذات آجال استحقاق متبقية تقل عن سنة واحدة، والممنوحة من عملاء التجزئة والشركات الصغيرة</t>
  </si>
  <si>
    <t>الودائع و/أو الحسابات الاستثمارية المطلقة القائمة على المشاركة في الأرباح الأقل استقرارًا ذات آجال استحقاق متبقية تقل عن سنة واحدة، والممنوحة من عملاء التجزئة والشركات الصغيرة</t>
  </si>
  <si>
    <t>الودائع لأجل (مخاطر عدم التجديد)/الحسابات الاستثمارية القائمة على المشاركة في الأرباح</t>
  </si>
  <si>
    <t>الحسابات الاستثمارية المطلقة القائمة على المشاركة في الأرباح/إجمالي الموجودات</t>
  </si>
  <si>
    <t>الحسابات الاستثمارية المقيدة القائمة على المشاركة في الأرباح/إجمالي الموجودات</t>
  </si>
  <si>
    <t>متوسط سحوبات الودائع لأجل/الحسابات الاستثمارية المطلقة القائمة على المشاركة في الأرباح</t>
  </si>
  <si>
    <t>التمويل طويل الأجل/الحسابات الاستثمارية المقيدة القائمة على المشاركة في الأرباح</t>
  </si>
  <si>
    <t xml:space="preserve"> الصكوك المؤهلة المقومة بالعملة المحلية، والأوراق المالية الأخرى المتوافقة مع أحكام الشريعة ومبادئها والقابلة للتسويق، الصادرة من قبل الكيانات السيادية أو البنوك المركزية، والتي لديها وزن مخاطر يبلغ   0%</t>
  </si>
  <si>
    <t>جميع المُعامَلات الأخرى</t>
  </si>
  <si>
    <t>مُعامَلات التمويل المضمون والمدعوم بموجودات من المستوى 1 أو مع البنوك المركزية</t>
  </si>
  <si>
    <t>مُعامَلات التمويل المضمون والمدعوم بموجودات من المستوى 2أ</t>
  </si>
  <si>
    <t>مُعامَلات التمويل المضمون مع الكيانات السيادية المحلية أو كيانات القطاع العام أو مصارف التنمية متعددة الأطراف، وغير المدعوم بموجودات من المستوى 1 أو المستوى 2أ</t>
  </si>
  <si>
    <t>مُعامَلات التمويل المضمون والمدعوم بأوراق مالية مدعومة برهونات عقارية متوافقة مع أحكام الشريعة ومبادئها، ومؤهلة لأن تكون ضمن موجودات المستوى 2ب</t>
  </si>
  <si>
    <t>مُعامَلات التمويل المضمون والمدعوم بموجودات أخرى من المستوى 2ب</t>
  </si>
  <si>
    <t>الصكوك المؤهلة، والأوراق المالية الأخرى المتوافقة مع أحكام الشريعة ومبادئها والقابلة للتسويق، الصادرة أو المضمونة من قبل الكيانات السيادية أو البنوك المركزية أو كيانات القطاع العام أو مصارف التنمية متعددة الأطراف أو المنظمات الدولية ذات الصلة، والتي يخصص لها وزن مخاطر يبلغ 0% بالنسبة لمخاطر الائتمان وفق المعيار رقم 15</t>
  </si>
  <si>
    <r>
      <t xml:space="preserve"> </t>
    </r>
    <r>
      <rPr>
        <sz val="10"/>
        <color rgb="FF000000"/>
        <rFont val="Sakkal Majalla"/>
      </rPr>
      <t>الصكوك المؤهلة المقومة بعملات أجنبية، والأوراق المالية الأخرى المتوافقة مع أحكام الشريعة ومبادئها والقابلة للتسويق، الصادرة من قبل الكيانات السيادية أو البنوك المركزية، والتي ليس لديها وزن مخاطر يبلغ 0%</t>
    </r>
  </si>
  <si>
    <t xml:space="preserve">الأوراق المالية المتوافقة مع أحكام الشريعة ومبادئها والقابلة للتسويق، الصادرة أو المضمونة من قبل الكيانات السيادية أو البنوك المركزية أو كيانات القطاع العام أو مصارف التنمية متعددة الأطراف أو المنظمات الدولية ذات الصلة، والتي يخصص لها وزن مخاطر يبلغ %20 بالنسبة لمخاطر الائتمان وفق المعيار رقم 15. </t>
  </si>
  <si>
    <t xml:space="preserve"> الصكوك المؤهلة والأوراق المالية الأخرى المتوافقة مع أحكام الشريعة ومبادئها </t>
  </si>
  <si>
    <t>الودائع تحت الطلب، والودائع لأجل (أقل من 30 يومًا على أجل الاستحقاق) الممنوحة من الشركات الصغيرة</t>
  </si>
  <si>
    <t>مُعامَلات التمويل المضمون مع بنك مركزي بوصفه طرفًا مقابلًا أو مُعامَلات التمويل المضمون والمدعوم بموجودات من المستوى 1 مع أي طرف مقابل
مدعوم بموجودات من المستوى  1مع أي طرف مقابل</t>
  </si>
  <si>
    <t>مُعامَلات التمويل المضمون والمدعوم بموجودات من المستوى 2أ مع أي طرف مقابل</t>
  </si>
  <si>
    <t>مُعامَلات التمويل المضمون والمدعوم بموجودات ليست من المستوى 1 أو المستوى 2أ مع الكيانات السيادية المحلية أو مصارف التنمية متعددة الأطراف، أو كيانات القطاع العام المحلية بوصفها أطرافًا مقابلة</t>
  </si>
  <si>
    <t>مُعامَلات التمويل المضمون والمدعوم بأوراق مالية مدعومة برهونات عقارية، ومؤهلة لأن تكون ضمن موجودات المستوى 2ب</t>
  </si>
  <si>
    <t>كل المطلوبات وحقوق الملكية الأخرى غير المندرجة في الفئات المذكورة آنفًا، بما في ذلك المطلوبات بدون أجل استحقاق مذكور. (مع معالجة خاصة للمطلوبات الضريبية المؤجلة وحقوق الأقلية)؛ صافي نسبة صافي التمويل المستقر لمطلوبات التحوط المتوافق مع أحكام الشريعة ومبادئها (إذا كانت نسبة صافي التمويل المستقر لمطلوبات التحوط المتوافق مع أحكام الشريعة ومبادئها أكثر من نسبة صافي التمويل المستقر لموجودات التحوط المتوافق مع أحكام الشريعة ومبادئها)؛ مدفوعات "تاريخ المتاجرة "الناشئة عن شراء أدوات مالية وعملات أجنبية وسلع</t>
  </si>
  <si>
    <t xml:space="preserve"> النقود؛ جميع احتياطيات البنك المركزي؛ جميع المطالبات على البنوك المركزية ذات آجال استحقاق متبقية تقل عن ستة أشهر؛ مستحقات "تاريخ المتاجرة" الناشئة عن بيع أدوات مالية وعملات أجنبية وسلع</t>
  </si>
  <si>
    <r>
      <rPr>
        <b/>
        <sz val="10"/>
        <rFont val="Sakkal Majalla"/>
      </rPr>
      <t>موجودات المستوى 1 غير المقيدة، باستثناء الأوراق النقدية والعملات المعدنية واحتياطيات البنك المركزي</t>
    </r>
    <r>
      <rPr>
        <sz val="10"/>
        <rFont val="Sakkal Majalla"/>
      </rPr>
      <t xml:space="preserve"> </t>
    </r>
  </si>
  <si>
    <t>التمويلات غير المقيدة الممنوحة للمؤسسات المالية ذات آجال استحقاق متبقية تقل عن ستة أشهر، عندما يكون التمويل مدعومًا بموجودات من المستوى 1</t>
  </si>
  <si>
    <t>موجودات المستوى 2ب غير المقيدة؛ الموجودات السائلة عالية الجودة المقيدة لفترة ستة أشهر أو أكثر وأقل من سنة واحدة؛ التمويلات الممنوحة للمؤسسات المالية والبنوك المركزية ذات آجال استحقاق متبقية تتراوح ما بين ستة أشهر وأقل من سنة واحدة؛ الودائع المحتفظ بها لدى المؤسسات المالية الأخرى لأغراض تشغيلية؛ جميع الموجودات الأخرى غير المندرجة في الفئات المذكورة آنفًا ذات آجال استحقاق متبقية تقل عن سنة واحدة، بما في ذلك التمويلات الممنوحة للمؤسسات غير المالية، والتمويلات الممنوحة لعملاء التجزئة والشركات الصغيرة، والتمويلات الممنوحة للكيانات السيادية وكيانات القطاع العام</t>
  </si>
  <si>
    <t>مُعامَلات التمويل المضمون مع الكيانات السيادية المحلية أو كيانات القطاع العام أو مصارف التنمية متعددة الأطراف وغير المدعوم بموجودات من المستوى 1 أو المستوى 2أ
كيانات القطاع العام التي تحصل على هذه المعالجة تقتصر على تلك التي لديها وزن مخاطر مقداره 20٪ أو أقل</t>
  </si>
  <si>
    <t xml:space="preserve"> مُعامَلات التمويل المضمون والمدعوم بموجودات أخرى من المستوى 2ب</t>
  </si>
  <si>
    <t>ودائع التجزئة/الحسابات الاستثمارية المطلقة القائمة على المشاركة في الأرباح المستقرة من أشخاص طبيعيين والشركات الصغيرة</t>
  </si>
  <si>
    <t xml:space="preserve">كل المطلوبات وحقوق الملكية الأخرى غير المندرجة في الفئات المذكورة آنفًا بما في ذلك المطلوبات بدون أجل استحقاق مذكور. (مع معالجة خاصة للمطلوبات الضريبية المؤجلة وحقوق الأقلية)؛ صافي نسبة صافي التمويل المستقر لمطلوبات التحوط المتوافق مع أحكام الشريعة ومبادئها (إذا كانت نسبة صافي التمويل المستقر لمطلوبات التحوط المتوافق مع أحكام الشريعة ومبادئها أكثر من نسبة صافي التمويل المستقر لموجودات التحوط المتوافق مع أحكام الشريعة ومبادئها) مدفوعات "تاريخ المتاجرة "الناشئة عن شراء أدوات مالية وعملات أجنبية وسلع
</t>
  </si>
  <si>
    <t>مُعامَلات التمويل المضمون مع البنك المركزي بوصفه طرفًا مقابلًا أو مُعامَلات التمويل المضمون والمدعوم بموجودات من المستوى 1 مع أي طرف مقابل
مدعوم بموجودات من المستوى  1مع أي طرف مقابل</t>
  </si>
  <si>
    <t>إجمالي رأس المال التنظيمي (عدا أدوات رأس المال الإضافي ذات آجال استحقاق متبقية تقل عن سنة واحدة)؛ أدوات رأس المال والمطلوبات الأخرى ذات آجال استحقاق متبقية فعلية لسنة واحدة أو أكثر</t>
  </si>
  <si>
    <t xml:space="preserve">جميع الموجودات المقيدة لمدة سنة واحدة أو أكثر؛ جميع الموجودات الأخرى غير المندرجة في الفئات المذكورة آنفًا، بما في ذلك التمويلات غير المنتظمة، والتمويلات الممنوحة للمؤسسات المالية ذات آجال استحقاق متبقية لسنة واحدة أو أكثر، وحقوق الملكية غير المتداولة في البورصة، والموجودات الثابتة، والبنود المحسومة من رأس المال التنظيمي، وموجودات التكافل، والأوراق المالية المتعثرة المتوافقة مع أحكام الشريعة ومبادئها 
</t>
  </si>
  <si>
    <t>جميع الموجودات المقيدة لمدة سنة واحدة أو أكثر؛ جميع الموجودات الأخرى غير المندرجة في الفئات المذكورة آنفًا، بما في ذلك التمويلات غير المنتظمة، والتمويلات الممنوحة للمؤسسات المالية ذات آجال استحقاق متبقية لسنة واحدة أو أكثر، وحقوق الملكية غير المتداولة في البورصة، والموجودات الثابتة، والبنود المحسومة من رأس المال التنظيمي، وموجودات التكافل، والأوراق المالية المتعثرة المتوافقة مع أحكام الشريعة ومبادئها</t>
  </si>
  <si>
    <t>تدفقات الحسابات الاستثمارية المقيدة القائمة على المشاركة في الأرباح الصادرة</t>
  </si>
  <si>
    <t>التغيرات التراكمية في الحسابات الاستثمارية المقيدة القائمة على المشاركة في الأرباح</t>
  </si>
  <si>
    <t xml:space="preserve">الصكوك المؤهلة، والأوراق المالية الأخرى المتوافقة مع أحكام الشريعة ومبادئها والقابلة للتسويق، الصادرة أو المضمونة من قبل الكيانات السيادية أو البنوك المركزية أو كيانات القطاع العام أو مصارف التنمية متعددة الأطراف أو المنظمات الدولية ذات الصلة، والتي يخصص لها وزن مخاطر يبلغ %0 بالنسبة لمخاطر الائتمان وفق المعيار رقم 15 </t>
  </si>
  <si>
    <t xml:space="preserve"> الصكوك المؤهلة المقومة بالعملة المحلية، والأوراق المالية الأخرى المتوافقة مع أحكام الشريعة ومبادئها والقابلة للتسويق، الصادرة من قبل الكيانات السيادية أو البنوك المركزية، والتي لديها وزن مخاطر يبلغ 0%</t>
  </si>
  <si>
    <t>أ. ودائع التجزئة والحسابات الاستثمارية القائمة على المشاركة في الأرباح:</t>
  </si>
  <si>
    <t>مُعامَلات التمويل المضمون مع بنك مركزي بوصفه طرفًا مقابلًا أو مُعامَلات التمويل المضمون والمدعوم بموجودات من المستوى 1 مع أي طرف مقابل</t>
  </si>
  <si>
    <t>تمويل أجل استحقاقه المتبقي يقل عن سنة واحدة، والممنوح من المؤسسات غير المالية؛ الحسابات التشغيلية؛ تمويل أجل استحقاقه المتبقي يقل عن سنة واحدة، والممنوح من الكيانات السيادية، وكيانات القطاع العام، ومصارف التنمية متعددة الأطراف ومصارف التنمية الوطنية؛ تمويلات أخرى آجال استحقاقها المتبقية تتراوح ما بين ستة أشهر، وأقل من سنة واحدة غير المندرجة في الفئات المذكورة آنفًا، بما في ذلك التمويل الممنوح من البنوك المركزية والمؤسسات المالية</t>
  </si>
  <si>
    <t>تمويل أجل استحقاقه المتبقي يقل عن سنة واحدة، والممنوح من المؤسسات غير المالية؛ الحسابات التشغيلية؛ تمويل أجل استحقاقه المتبقي يقل عن سنة واحدة، والممنوج من الكيانات السيادية، وكيانات القطاع العام، ومصارف التنمية متعددة الأطراف ومصارف التنمية الوطنية؛ تمويلات أخرى آجال استحقاقها المتبقية تتراوح ما بين ستة أشهر، وأقل من سنة واحدة غير المندرجة في الفئات المذكورة آنفًا، بما في ذلك التمويل الممنوح من البنوك المركزية والمؤسسات المالية</t>
  </si>
  <si>
    <t>كل المطلوبات وحقوق الملكية الأخرى غير المندرجة في الفئات المذكورة آنفًا بما في ذلك المطلوبات بدون أجل استحقاق مذكور. (مع معالجة خاصة للمطلوبات الضريبية المؤجلة وحقوق الأقلية)؛ صافي نسبة صافي التمويل المستقر لمطلوبات التحوط المتوافق مع أحكام الشريعة ومبادئها (إذا كانت نسبة صافي التمويل المستقر لمطلوبات التحوط المتوافق مع أحكام الشريعة ومبادئها أكثر من نسبة صافي التمويل المستقر لموجودات التحوط المتوافق مع أحكام الشريعة ومبادئها)؛ مدفوعات "تاريخ المتاجرة "الناشئة عن شراء أدوات مالية وعملات أجنبية وسلع</t>
  </si>
  <si>
    <t xml:space="preserve">موجودات المستوى 1 غير المقيدة، باستثناء الأوراق النقدية والعملات المعدنية واحتياطيات البنك المركزي </t>
  </si>
  <si>
    <t xml:space="preserve">التمويلات غير المقيدة الممنوحة للمؤسسات المالية ذات آجال استحقاق متبقية تقل عن ستة أشهر، عندما يكون التمويل مدعومًا بموجودات من المستوى 1 </t>
  </si>
  <si>
    <t>اختبار 2.2.أ: "التحليل الوصفي لعدم توافق آجال الاستحقاق" (بدون اعتبار لمخاطر عدم التجديد)</t>
  </si>
  <si>
    <t xml:space="preserve">جميع الموجودات المقيدة لمدة سنة واحدة أو أكثر؛ جميع الموجودات الأخرى غير المندرجة في الفئات المذكورة آنفًا، بما في ذلك التمويلات غير المنتظمة، والتمويلات الممنوحة للمؤسسات المالية ذات آجال استحقاق متبقية لسنة واحدة أو أكثر، وحقوق الملكية غير المتداولة في البورصة، والموجودات الثابتة، والبنود المحسومة من رأس المال التنظيمي، وموجودات التكافل، والأوراق المالية المتعثرة المتوافقة مع أحكام الشريعة ومبادئها </t>
  </si>
  <si>
    <t>السحب التراكمي للودائع/الحسابات الاستثمارية القائمة على المشاركة في الأرباح ( النسبة من الإجمالي وافتراضات الاختبار)</t>
  </si>
  <si>
    <t>الخسارة الإجمالية التراكمية للحسابات الاستثمارية المقيدة القائمة على المشاركة في الأرباح (النسبة من الإجمالي وافتراضات الاختبار)</t>
  </si>
  <si>
    <t>نسبة إجمالي المطلوبات الناشئة عن التمويل الممنوح  لمؤسسة الخدمات المالية الإسلامية</t>
  </si>
  <si>
    <t>ودائع التجزئة/الحسابات الاستثمارية المطلقة القائمة على المشاركة في الأرباح الأقل استقرارًا من أشخاص طبيعيين والشركات الصغيرة</t>
  </si>
  <si>
    <t>التسهيلات الائتمانية غير المسحوبة والملتزم بها الممنوحة للشركات وعملاء التجزئة</t>
  </si>
  <si>
    <t>المطلوبات الأخرى في قائمة المركز المالي (مخاطر عدم التجديد)</t>
  </si>
  <si>
    <t>المطلوبات خارج قائمة المركز المالي (مخاطر عدم التجديد)</t>
  </si>
  <si>
    <t>الموجودات خارج قائمة المركز المالي</t>
  </si>
  <si>
    <t>التمويلات خارج قائمة المركز المالي</t>
  </si>
  <si>
    <t>الغرض من الاختبار: محاكاة 1) تخفيض التصنيف الائتماني لمؤسسة الخدمات المالية الإسلامية بمقدار يصل إلى ثلاث درجات، 2) تسرب نسبة من ودائع التجزئة، 3)  خسارة تلحق بالتمويل بالجملة غير المضمون، وانخفاض في التمويل بالجملة لأجل المضمون، 4) خسارة تلحق بالتمويل المضمون قصير الأجل لجميع الموجودات باستثناء الموجودات السائلة عالية الجودة، 5) متطلبات تقتضي تخفيض أكبر لقيمة الرهونات و/أو رهونات إضافية لإغلاق مراكز التحوط المتوافق مع أحكام الشريعة ومبادئها، 6) عمليات سحب للتسهيلات الائتمانية وتسهيلات السيولة الملتزم بها غير المستخدمة، 7) الحاجة لتمويل نمو قائمة المركز المالي وذلك للتخفيف من مخاطر السمعة.</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</si>
</sst>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
    <numFmt numFmtId="166" formatCode="#,##0.0"/>
    <numFmt numFmtId="167" formatCode="_-* #,##0_-;\-* #,##0_-;_-* &quot;-&quot;??_-;_-@_-"/>
  </numFmts>
  <fonts count="46" x14ac:knownFonts="1">
    <font>
      <sz val="11"/>
      <color theme="1"/>
      <name val="Calibri"/>
      <family val="2"/>
      <scheme val="minor"/>
    </font>
    <font>
      <sz val="10"/>
      <name val="Arial"/>
      <family val="2"/>
    </font>
    <font>
      <b/>
      <sz val="10"/>
      <name val="Arial"/>
      <family val="2"/>
    </font>
    <font>
      <u/>
      <sz val="10"/>
      <color theme="10"/>
      <name val="Arial"/>
      <family val="2"/>
    </font>
    <font>
      <b/>
      <sz val="11"/>
      <name val="Arial"/>
      <family val="2"/>
    </font>
    <font>
      <sz val="10"/>
      <name val="Times New Roman"/>
      <family val="1"/>
    </font>
    <font>
      <sz val="10"/>
      <name val="Arial"/>
      <family val="2"/>
    </font>
    <font>
      <b/>
      <sz val="10"/>
      <color indexed="10"/>
      <name val="Arial"/>
      <family val="2"/>
    </font>
    <font>
      <b/>
      <sz val="11"/>
      <color rgb="FF3F3F3F"/>
      <name val="Calibri"/>
      <family val="2"/>
      <scheme val="minor"/>
    </font>
    <font>
      <b/>
      <sz val="12"/>
      <name val="Arial"/>
      <family val="2"/>
    </font>
    <font>
      <sz val="10"/>
      <name val="Calibri"/>
      <family val="2"/>
      <scheme val="minor"/>
    </font>
    <font>
      <b/>
      <sz val="10"/>
      <name val="Calibri"/>
      <family val="2"/>
      <scheme val="minor"/>
    </font>
    <font>
      <b/>
      <sz val="12"/>
      <color theme="0"/>
      <name val="Calibri"/>
      <family val="2"/>
      <scheme val="minor"/>
    </font>
    <font>
      <b/>
      <sz val="10"/>
      <color theme="0"/>
      <name val="Calibri"/>
      <family val="2"/>
      <scheme val="minor"/>
    </font>
    <font>
      <sz val="10"/>
      <color rgb="FFFF0000"/>
      <name val="Calibri"/>
      <family val="2"/>
      <scheme val="minor"/>
    </font>
    <font>
      <sz val="11"/>
      <color theme="1"/>
      <name val="Calibri"/>
      <family val="2"/>
      <scheme val="minor"/>
    </font>
    <font>
      <sz val="11"/>
      <color theme="0"/>
      <name val="Calibri"/>
      <family val="2"/>
      <scheme val="minor"/>
    </font>
    <font>
      <sz val="11"/>
      <color rgb="FFC00000"/>
      <name val="Calibri"/>
      <family val="2"/>
      <scheme val="minor"/>
    </font>
    <font>
      <b/>
      <sz val="12"/>
      <color theme="0"/>
      <name val="Sakkal Majalla"/>
    </font>
    <font>
      <b/>
      <sz val="12"/>
      <name val="Sakkal Majalla"/>
    </font>
    <font>
      <sz val="10"/>
      <name val="Sakkal Majalla"/>
    </font>
    <font>
      <b/>
      <sz val="10"/>
      <color theme="1"/>
      <name val="Sakkal Majalla"/>
    </font>
    <font>
      <sz val="10"/>
      <color rgb="FFFF0000"/>
      <name val="Sakkal Majalla"/>
    </font>
    <font>
      <b/>
      <sz val="10"/>
      <name val="Sakkal Majalla"/>
    </font>
    <font>
      <i/>
      <sz val="10"/>
      <name val="Sakkal Majalla"/>
    </font>
    <font>
      <sz val="10"/>
      <color theme="1"/>
      <name val="Sakkal Majalla"/>
    </font>
    <font>
      <sz val="10"/>
      <color rgb="FF000000"/>
      <name val="Sakkal Majalla"/>
    </font>
    <font>
      <b/>
      <sz val="10"/>
      <color rgb="FF000000"/>
      <name val="Sakkal Majalla"/>
    </font>
    <font>
      <sz val="11"/>
      <color theme="1"/>
      <name val="Sakkal Majalla"/>
    </font>
    <font>
      <b/>
      <sz val="10"/>
      <color theme="0"/>
      <name val="Sakkal Majalla"/>
    </font>
    <font>
      <sz val="12"/>
      <name val="Sakkal Majalla"/>
    </font>
    <font>
      <sz val="12"/>
      <color theme="1"/>
      <name val="Sakkal Majalla"/>
    </font>
    <font>
      <b/>
      <sz val="10"/>
      <color rgb="FFFF0000"/>
      <name val="Sakkal Majalla"/>
    </font>
    <font>
      <sz val="10"/>
      <color indexed="10"/>
      <name val="Sakkal Majalla"/>
    </font>
    <font>
      <sz val="10"/>
      <color indexed="8"/>
      <name val="Sakkal Majalla"/>
    </font>
    <font>
      <u/>
      <sz val="11"/>
      <color theme="10"/>
      <name val="Calibri"/>
      <family val="2"/>
      <scheme val="minor"/>
    </font>
    <font>
      <b/>
      <sz val="10"/>
      <color rgb="FFFFFFFF"/>
      <name val="Sakkal Majalla"/>
    </font>
    <font>
      <b/>
      <sz val="10"/>
      <color indexed="9"/>
      <name val="Sakkal Majalla"/>
    </font>
    <font>
      <b/>
      <sz val="10"/>
      <color rgb="FFC00000"/>
      <name val="Sakkal Majalla"/>
    </font>
    <font>
      <b/>
      <i/>
      <sz val="10"/>
      <name val="Sakkal Majalla"/>
    </font>
    <font>
      <sz val="11"/>
      <color theme="4"/>
      <name val="Sakkal Majalla"/>
    </font>
    <font>
      <b/>
      <sz val="11"/>
      <color theme="0"/>
      <name val="Sakkal Majalla"/>
    </font>
    <font>
      <b/>
      <sz val="11"/>
      <name val="Sakkal Majalla"/>
    </font>
    <font>
      <sz val="11"/>
      <color rgb="FF9C0006"/>
      <name val="Calibri"/>
      <family val="2"/>
      <scheme val="minor"/>
    </font>
    <font>
      <b/>
      <sz val="16"/>
      <name val="Sakkal Majalla"/>
    </font>
    <font>
      <sz val="11"/>
      <color rgb="FF9C0006"/>
      <name val="Sakkal Majalla"/>
    </font>
  </fonts>
  <fills count="37">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indexed="22"/>
        <bgColor indexed="64"/>
      </patternFill>
    </fill>
    <fill>
      <patternFill patternType="solid">
        <fgColor indexed="52"/>
        <bgColor indexed="64"/>
      </patternFill>
    </fill>
    <fill>
      <patternFill patternType="solid">
        <fgColor indexed="44"/>
        <bgColor indexed="64"/>
      </patternFill>
    </fill>
    <fill>
      <patternFill patternType="solid">
        <fgColor rgb="FFFFFF00"/>
        <bgColor indexed="64"/>
      </patternFill>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theme="0" tint="-0.249977111117893"/>
        <bgColor indexed="64"/>
      </patternFill>
    </fill>
    <fill>
      <patternFill patternType="solid">
        <fgColor indexed="23"/>
        <bgColor indexed="64"/>
      </patternFill>
    </fill>
    <fill>
      <patternFill patternType="solid">
        <fgColor theme="0" tint="-0.14999847407452621"/>
        <bgColor indexed="64"/>
      </patternFill>
    </fill>
    <fill>
      <patternFill patternType="solid">
        <fgColor rgb="FF99CCFF"/>
        <bgColor indexed="64"/>
      </patternFill>
    </fill>
    <fill>
      <patternFill patternType="solid">
        <fgColor rgb="FFFFCCCC"/>
        <bgColor indexed="64"/>
      </patternFill>
    </fill>
    <fill>
      <patternFill patternType="solid">
        <fgColor indexed="45"/>
        <bgColor indexed="64"/>
      </patternFill>
    </fill>
    <fill>
      <patternFill patternType="solid">
        <fgColor theme="0"/>
        <bgColor indexed="64"/>
      </patternFill>
    </fill>
    <fill>
      <patternFill patternType="solid">
        <fgColor rgb="FFFF5050"/>
        <bgColor indexed="64"/>
      </patternFill>
    </fill>
    <fill>
      <patternFill patternType="solid">
        <fgColor indexed="53"/>
        <bgColor indexed="64"/>
      </patternFill>
    </fill>
    <fill>
      <patternFill patternType="solid">
        <fgColor indexed="51"/>
        <bgColor indexed="64"/>
      </patternFill>
    </fill>
    <fill>
      <patternFill patternType="solid">
        <fgColor indexed="50"/>
        <bgColor indexed="64"/>
      </patternFill>
    </fill>
    <fill>
      <patternFill patternType="solid">
        <fgColor indexed="57"/>
        <bgColor indexed="64"/>
      </patternFill>
    </fill>
    <fill>
      <patternFill patternType="solid">
        <fgColor theme="3" tint="-0.49998474074526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rgb="FFF2F2F2"/>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CC99"/>
      </patternFill>
    </fill>
    <fill>
      <patternFill patternType="solid">
        <fgColor theme="9"/>
      </patternFill>
    </fill>
    <fill>
      <patternFill patternType="solid">
        <fgColor rgb="FFFFC7CE"/>
      </patternFill>
    </fill>
    <fill>
      <patternFill patternType="solid">
        <fgColor rgb="FFFFC7CE"/>
        <bgColor indexed="64"/>
      </patternFill>
    </fill>
  </fills>
  <borders count="4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medium">
        <color indexed="64"/>
      </top>
      <bottom style="thin">
        <color indexed="64"/>
      </bottom>
      <diagonal/>
    </border>
  </borders>
  <cellStyleXfs count="19">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xf numFmtId="0" fontId="6" fillId="0" borderId="0"/>
    <xf numFmtId="0" fontId="8" fillId="30" borderId="21" applyNumberFormat="0" applyAlignment="0" applyProtection="0"/>
    <xf numFmtId="0" fontId="9" fillId="0" borderId="0" applyNumberFormat="0" applyFill="0" applyBorder="0" applyAlignment="0" applyProtection="0"/>
    <xf numFmtId="0" fontId="1" fillId="9" borderId="8" applyNumberFormat="0" applyFont="0" applyBorder="0" applyProtection="0">
      <alignment horizontal="left" vertical="center"/>
    </xf>
    <xf numFmtId="9" fontId="15" fillId="0" borderId="0" applyFont="0" applyFill="0" applyBorder="0" applyAlignment="0" applyProtection="0"/>
    <xf numFmtId="0" fontId="16" fillId="34" borderId="0" applyNumberFormat="0" applyBorder="0" applyAlignment="0" applyProtection="0"/>
    <xf numFmtId="4" fontId="17" fillId="33" borderId="22">
      <alignment horizontal="left"/>
    </xf>
    <xf numFmtId="0" fontId="35" fillId="0" borderId="0" applyNumberFormat="0" applyFill="0" applyBorder="0" applyAlignment="0" applyProtection="0"/>
    <xf numFmtId="0" fontId="43" fillId="35" borderId="0" applyNumberFormat="0" applyBorder="0" applyAlignment="0" applyProtection="0"/>
  </cellStyleXfs>
  <cellXfs count="1067">
    <xf numFmtId="0" fontId="0" fillId="0" borderId="0" xfId="0"/>
    <xf numFmtId="3" fontId="1" fillId="0" borderId="0" xfId="1" applyNumberFormat="1" applyAlignment="1">
      <alignment horizontal="right"/>
    </xf>
    <xf numFmtId="3" fontId="1" fillId="0" borderId="0" xfId="1" applyNumberFormat="1" applyBorder="1" applyAlignment="1">
      <alignment horizontal="right"/>
    </xf>
    <xf numFmtId="3" fontId="2" fillId="0" borderId="0" xfId="1" applyNumberFormat="1" applyFont="1" applyAlignment="1">
      <alignment horizontal="center"/>
    </xf>
    <xf numFmtId="1" fontId="1" fillId="0" borderId="0" xfId="1" applyNumberFormat="1" applyAlignment="1">
      <alignment horizontal="center"/>
    </xf>
    <xf numFmtId="3" fontId="1" fillId="0" borderId="0" xfId="1" applyNumberFormat="1" applyAlignment="1">
      <alignment horizontal="center"/>
    </xf>
    <xf numFmtId="3" fontId="2" fillId="0" borderId="0" xfId="1" applyNumberFormat="1" applyFont="1" applyFill="1" applyAlignment="1">
      <alignment horizontal="center"/>
    </xf>
    <xf numFmtId="3" fontId="2" fillId="0" borderId="0" xfId="1" applyNumberFormat="1" applyFont="1" applyAlignment="1">
      <alignment horizontal="right"/>
    </xf>
    <xf numFmtId="3" fontId="1" fillId="0" borderId="0" xfId="1" applyNumberFormat="1" applyFill="1" applyBorder="1" applyAlignment="1">
      <alignment horizontal="right"/>
    </xf>
    <xf numFmtId="3" fontId="1" fillId="0" borderId="0" xfId="1" applyNumberFormat="1" applyFill="1" applyAlignment="1">
      <alignment horizontal="right"/>
    </xf>
    <xf numFmtId="3" fontId="1" fillId="0" borderId="0" xfId="1" applyNumberFormat="1" applyFont="1" applyAlignment="1">
      <alignment horizontal="right"/>
    </xf>
    <xf numFmtId="0" fontId="1" fillId="0" borderId="0" xfId="1"/>
    <xf numFmtId="0" fontId="1" fillId="0" borderId="0" xfId="1" applyFill="1"/>
    <xf numFmtId="0" fontId="2" fillId="0" borderId="0" xfId="1" applyFont="1" applyFill="1" applyBorder="1"/>
    <xf numFmtId="0" fontId="1" fillId="0" borderId="0" xfId="1" applyFont="1" applyFill="1" applyBorder="1"/>
    <xf numFmtId="0" fontId="4" fillId="0" borderId="0" xfId="1" applyFont="1" applyFill="1" applyBorder="1" applyAlignment="1">
      <alignment horizontal="left"/>
    </xf>
    <xf numFmtId="0" fontId="2" fillId="0" borderId="0" xfId="1" applyFont="1" applyFill="1" applyBorder="1" applyAlignment="1">
      <alignment horizontal="center" wrapText="1"/>
    </xf>
    <xf numFmtId="0" fontId="1" fillId="0" borderId="0" xfId="1" applyFill="1" applyBorder="1"/>
    <xf numFmtId="0" fontId="1" fillId="15" borderId="0" xfId="1" applyFill="1" applyAlignment="1">
      <alignment horizontal="center"/>
    </xf>
    <xf numFmtId="165" fontId="0" fillId="13" borderId="17" xfId="3" applyNumberFormat="1" applyFont="1" applyFill="1" applyBorder="1" applyAlignment="1">
      <alignment horizontal="center"/>
    </xf>
    <xf numFmtId="165" fontId="0" fillId="13" borderId="18" xfId="3" applyNumberFormat="1" applyFont="1" applyFill="1" applyBorder="1" applyAlignment="1">
      <alignment horizontal="center"/>
    </xf>
    <xf numFmtId="165" fontId="0" fillId="13" borderId="19" xfId="3" applyNumberFormat="1" applyFont="1" applyFill="1" applyBorder="1" applyAlignment="1">
      <alignment horizontal="center"/>
    </xf>
    <xf numFmtId="0" fontId="6" fillId="0" borderId="0" xfId="10" applyFill="1" applyBorder="1"/>
    <xf numFmtId="0" fontId="6" fillId="0" borderId="0" xfId="10"/>
    <xf numFmtId="0" fontId="6" fillId="0" borderId="0" xfId="10" applyFill="1" applyBorder="1" applyAlignment="1">
      <alignment wrapText="1"/>
    </xf>
    <xf numFmtId="0" fontId="6" fillId="0" borderId="15" xfId="10" applyFill="1" applyBorder="1"/>
    <xf numFmtId="0" fontId="7" fillId="0" borderId="0" xfId="1" applyFont="1"/>
    <xf numFmtId="0" fontId="10" fillId="0" borderId="0" xfId="10" applyFont="1" applyFill="1" applyBorder="1"/>
    <xf numFmtId="3" fontId="10" fillId="0" borderId="0" xfId="10" applyNumberFormat="1" applyFont="1" applyFill="1" applyBorder="1"/>
    <xf numFmtId="0" fontId="10" fillId="0" borderId="0" xfId="10" applyFont="1"/>
    <xf numFmtId="0" fontId="10" fillId="0" borderId="0" xfId="10" applyFont="1" applyFill="1" applyBorder="1" applyAlignment="1">
      <alignment wrapText="1"/>
    </xf>
    <xf numFmtId="0" fontId="10" fillId="0" borderId="0" xfId="1" applyFont="1" applyFill="1" applyBorder="1"/>
    <xf numFmtId="0" fontId="11" fillId="0" borderId="0" xfId="1" applyFont="1" applyBorder="1" applyAlignment="1">
      <alignment horizontal="right"/>
    </xf>
    <xf numFmtId="0" fontId="11" fillId="0" borderId="0" xfId="1" applyFont="1" applyFill="1" applyBorder="1"/>
    <xf numFmtId="0" fontId="10" fillId="0" borderId="0" xfId="1" applyFont="1" applyBorder="1"/>
    <xf numFmtId="0" fontId="11" fillId="0" borderId="0" xfId="1" applyFont="1" applyFill="1" applyBorder="1" applyAlignment="1">
      <alignment horizontal="center" wrapText="1"/>
    </xf>
    <xf numFmtId="0" fontId="11" fillId="0" borderId="0" xfId="1" applyFont="1" applyFill="1" applyBorder="1" applyAlignment="1">
      <alignment horizontal="left"/>
    </xf>
    <xf numFmtId="0" fontId="10" fillId="0" borderId="0" xfId="1" applyFont="1" applyFill="1" applyBorder="1" applyAlignment="1">
      <alignment vertical="center"/>
    </xf>
    <xf numFmtId="0" fontId="10" fillId="0" borderId="0" xfId="1" applyFont="1"/>
    <xf numFmtId="165" fontId="10" fillId="8" borderId="12" xfId="3" applyNumberFormat="1" applyFont="1" applyFill="1" applyBorder="1" applyAlignment="1">
      <alignment horizontal="center" wrapText="1"/>
    </xf>
    <xf numFmtId="3" fontId="10" fillId="0" borderId="0" xfId="1" applyNumberFormat="1" applyFont="1" applyAlignment="1">
      <alignment horizontal="right"/>
    </xf>
    <xf numFmtId="3" fontId="10" fillId="0" borderId="6" xfId="1" applyNumberFormat="1" applyFont="1" applyBorder="1" applyAlignment="1">
      <alignment horizontal="right"/>
    </xf>
    <xf numFmtId="3" fontId="14" fillId="0" borderId="6" xfId="1" applyNumberFormat="1" applyFont="1" applyBorder="1" applyAlignment="1">
      <alignment horizontal="center"/>
    </xf>
    <xf numFmtId="3" fontId="13" fillId="23" borderId="6" xfId="1" applyNumberFormat="1" applyFont="1" applyFill="1" applyBorder="1" applyAlignment="1">
      <alignment horizontal="right"/>
    </xf>
    <xf numFmtId="0" fontId="12" fillId="23" borderId="4" xfId="1" applyFont="1" applyFill="1" applyBorder="1" applyAlignment="1"/>
    <xf numFmtId="0" fontId="0" fillId="0" borderId="0" xfId="0" applyFill="1" applyBorder="1"/>
    <xf numFmtId="0" fontId="2" fillId="0" borderId="0" xfId="1" applyFont="1" applyFill="1" applyBorder="1" applyAlignment="1">
      <alignment horizontal="left"/>
    </xf>
    <xf numFmtId="0" fontId="2" fillId="13" borderId="17" xfId="1" applyFont="1" applyFill="1" applyBorder="1" applyAlignment="1">
      <alignment horizontal="center" vertical="center" wrapText="1"/>
    </xf>
    <xf numFmtId="3" fontId="11" fillId="6" borderId="7" xfId="1" applyNumberFormat="1" applyFont="1" applyFill="1" applyBorder="1" applyAlignment="1">
      <alignment horizontal="center"/>
    </xf>
    <xf numFmtId="3" fontId="11" fillId="6" borderId="14" xfId="1" applyNumberFormat="1" applyFont="1" applyFill="1" applyBorder="1" applyAlignment="1">
      <alignment horizontal="center"/>
    </xf>
    <xf numFmtId="1" fontId="10" fillId="14" borderId="13" xfId="2" applyNumberFormat="1" applyFont="1" applyFill="1" applyBorder="1" applyAlignment="1">
      <alignment horizontal="center" wrapText="1"/>
    </xf>
    <xf numFmtId="1" fontId="10" fillId="14" borderId="16" xfId="2" applyNumberFormat="1" applyFont="1" applyFill="1" applyBorder="1" applyAlignment="1">
      <alignment horizontal="center" wrapText="1"/>
    </xf>
    <xf numFmtId="3" fontId="10" fillId="9" borderId="7" xfId="1" applyNumberFormat="1" applyFont="1" applyFill="1" applyBorder="1" applyAlignment="1">
      <alignment horizontal="right"/>
    </xf>
    <xf numFmtId="3" fontId="10" fillId="9" borderId="14" xfId="1" applyNumberFormat="1" applyFont="1" applyFill="1" applyBorder="1" applyAlignment="1">
      <alignment horizontal="right"/>
    </xf>
    <xf numFmtId="0" fontId="10" fillId="0" borderId="0" xfId="1" applyFont="1" applyAlignment="1">
      <alignment horizontal="right" readingOrder="2"/>
    </xf>
    <xf numFmtId="0" fontId="10" fillId="0" borderId="0" xfId="1" applyFont="1" applyAlignment="1">
      <alignment horizontal="right"/>
    </xf>
    <xf numFmtId="0" fontId="10" fillId="0" borderId="0" xfId="10" applyFont="1" applyFill="1" applyBorder="1" applyAlignment="1">
      <alignment horizontal="right"/>
    </xf>
    <xf numFmtId="0" fontId="20" fillId="0" borderId="0" xfId="1" applyFont="1"/>
    <xf numFmtId="0" fontId="20" fillId="0" borderId="0" xfId="1" applyFont="1" applyAlignment="1">
      <alignment horizontal="right" readingOrder="2"/>
    </xf>
    <xf numFmtId="0" fontId="20" fillId="0" borderId="0" xfId="1" applyFont="1" applyAlignment="1">
      <alignment horizontal="right"/>
    </xf>
    <xf numFmtId="0" fontId="22" fillId="0" borderId="0" xfId="1" applyFont="1"/>
    <xf numFmtId="0" fontId="23" fillId="13" borderId="11" xfId="1" applyFont="1" applyFill="1" applyBorder="1" applyAlignment="1">
      <alignment horizontal="center"/>
    </xf>
    <xf numFmtId="0" fontId="20" fillId="0" borderId="0" xfId="1" applyFont="1" applyAlignment="1">
      <alignment vertical="center"/>
    </xf>
    <xf numFmtId="165" fontId="23" fillId="13" borderId="12" xfId="3" applyNumberFormat="1" applyFont="1" applyFill="1" applyBorder="1" applyAlignment="1">
      <alignment horizontal="center" vertical="center" wrapText="1"/>
    </xf>
    <xf numFmtId="165" fontId="23" fillId="13" borderId="10" xfId="3" applyNumberFormat="1" applyFont="1" applyFill="1" applyBorder="1" applyAlignment="1">
      <alignment horizontal="center" vertical="center" wrapText="1"/>
    </xf>
    <xf numFmtId="165" fontId="23" fillId="13" borderId="11" xfId="3" applyNumberFormat="1" applyFont="1" applyFill="1" applyBorder="1" applyAlignment="1">
      <alignment horizontal="center" vertical="center" wrapText="1"/>
    </xf>
    <xf numFmtId="165" fontId="21" fillId="13" borderId="11" xfId="3" applyNumberFormat="1" applyFont="1" applyFill="1" applyBorder="1" applyAlignment="1">
      <alignment horizontal="center" vertical="center" wrapText="1"/>
    </xf>
    <xf numFmtId="3" fontId="23" fillId="13" borderId="11" xfId="1" applyNumberFormat="1" applyFont="1" applyFill="1" applyBorder="1" applyAlignment="1">
      <alignment horizontal="right" readingOrder="2"/>
    </xf>
    <xf numFmtId="165" fontId="25" fillId="8" borderId="11" xfId="3" applyNumberFormat="1" applyFont="1" applyFill="1" applyBorder="1" applyAlignment="1">
      <alignment horizontal="center"/>
    </xf>
    <xf numFmtId="3" fontId="20" fillId="0" borderId="0" xfId="1" applyNumberFormat="1" applyFont="1" applyBorder="1" applyAlignment="1">
      <alignment horizontal="right"/>
    </xf>
    <xf numFmtId="3" fontId="23" fillId="13" borderId="11" xfId="1" applyNumberFormat="1" applyFont="1" applyFill="1" applyBorder="1" applyAlignment="1">
      <alignment horizontal="right"/>
    </xf>
    <xf numFmtId="165" fontId="20" fillId="8" borderId="12" xfId="3" applyNumberFormat="1" applyFont="1" applyFill="1" applyBorder="1" applyAlignment="1">
      <alignment horizontal="center" wrapText="1"/>
    </xf>
    <xf numFmtId="165" fontId="25" fillId="8" borderId="12" xfId="3" applyNumberFormat="1" applyFont="1" applyFill="1" applyBorder="1" applyAlignment="1">
      <alignment horizontal="center"/>
    </xf>
    <xf numFmtId="3" fontId="20" fillId="9" borderId="12" xfId="1" applyNumberFormat="1" applyFont="1" applyFill="1" applyBorder="1" applyAlignment="1">
      <alignment horizontal="right"/>
    </xf>
    <xf numFmtId="165" fontId="20" fillId="7" borderId="12" xfId="3" applyNumberFormat="1" applyFont="1" applyFill="1" applyBorder="1" applyAlignment="1">
      <alignment horizontal="center" wrapText="1"/>
    </xf>
    <xf numFmtId="165" fontId="20" fillId="7" borderId="6" xfId="3" applyNumberFormat="1" applyFont="1" applyFill="1" applyBorder="1" applyAlignment="1">
      <alignment horizontal="center" wrapText="1"/>
    </xf>
    <xf numFmtId="165" fontId="20" fillId="8" borderId="5" xfId="3" applyNumberFormat="1" applyFont="1" applyFill="1" applyBorder="1" applyAlignment="1">
      <alignment horizontal="center" wrapText="1"/>
    </xf>
    <xf numFmtId="165" fontId="20" fillId="8" borderId="17" xfId="3" applyNumberFormat="1" applyFont="1" applyFill="1" applyBorder="1" applyAlignment="1">
      <alignment horizontal="center" wrapText="1"/>
    </xf>
    <xf numFmtId="3" fontId="23" fillId="9" borderId="13" xfId="1" applyNumberFormat="1" applyFont="1" applyFill="1" applyBorder="1" applyAlignment="1">
      <alignment horizontal="right" readingOrder="2"/>
    </xf>
    <xf numFmtId="9" fontId="20" fillId="7" borderId="12" xfId="9" applyFont="1" applyFill="1" applyBorder="1" applyAlignment="1">
      <alignment horizontal="center"/>
    </xf>
    <xf numFmtId="3" fontId="20" fillId="9" borderId="13" xfId="1" applyNumberFormat="1" applyFont="1" applyFill="1" applyBorder="1" applyAlignment="1">
      <alignment horizontal="right"/>
    </xf>
    <xf numFmtId="165" fontId="20" fillId="7" borderId="13" xfId="3" applyNumberFormat="1" applyFont="1" applyFill="1" applyBorder="1" applyAlignment="1">
      <alignment horizontal="center" wrapText="1"/>
    </xf>
    <xf numFmtId="165" fontId="20" fillId="7" borderId="0" xfId="3" applyNumberFormat="1" applyFont="1" applyFill="1" applyBorder="1" applyAlignment="1">
      <alignment horizontal="center" wrapText="1"/>
    </xf>
    <xf numFmtId="165" fontId="20" fillId="8" borderId="7" xfId="3" applyNumberFormat="1" applyFont="1" applyFill="1" applyBorder="1" applyAlignment="1">
      <alignment horizontal="center" wrapText="1"/>
    </xf>
    <xf numFmtId="165" fontId="20" fillId="8" borderId="13" xfId="3" applyNumberFormat="1" applyFont="1" applyFill="1" applyBorder="1" applyAlignment="1">
      <alignment horizontal="center" wrapText="1"/>
    </xf>
    <xf numFmtId="165" fontId="20" fillId="8" borderId="18" xfId="3" applyNumberFormat="1" applyFont="1" applyFill="1" applyBorder="1" applyAlignment="1">
      <alignment horizontal="center" wrapText="1"/>
    </xf>
    <xf numFmtId="3" fontId="20" fillId="9" borderId="13" xfId="1" applyNumberFormat="1" applyFont="1" applyFill="1" applyBorder="1" applyAlignment="1">
      <alignment horizontal="right" readingOrder="2"/>
    </xf>
    <xf numFmtId="9" fontId="20" fillId="7" borderId="13" xfId="9" applyFont="1" applyFill="1" applyBorder="1" applyAlignment="1">
      <alignment horizontal="center"/>
    </xf>
    <xf numFmtId="3" fontId="20" fillId="9" borderId="16" xfId="1" applyNumberFormat="1" applyFont="1" applyFill="1" applyBorder="1" applyAlignment="1">
      <alignment horizontal="right" readingOrder="2"/>
    </xf>
    <xf numFmtId="9" fontId="20" fillId="7" borderId="16" xfId="9" applyFont="1" applyFill="1" applyBorder="1" applyAlignment="1">
      <alignment horizontal="center"/>
    </xf>
    <xf numFmtId="3" fontId="20" fillId="0" borderId="0" xfId="1" applyNumberFormat="1" applyFont="1" applyFill="1" applyBorder="1" applyAlignment="1">
      <alignment horizontal="right" readingOrder="2"/>
    </xf>
    <xf numFmtId="3" fontId="20" fillId="9" borderId="16" xfId="1" applyNumberFormat="1" applyFont="1" applyFill="1" applyBorder="1" applyAlignment="1">
      <alignment horizontal="right"/>
    </xf>
    <xf numFmtId="165" fontId="20" fillId="7" borderId="16" xfId="3" applyNumberFormat="1" applyFont="1" applyFill="1" applyBorder="1" applyAlignment="1">
      <alignment horizontal="center" wrapText="1"/>
    </xf>
    <xf numFmtId="165" fontId="20" fillId="7" borderId="15" xfId="3" applyNumberFormat="1" applyFont="1" applyFill="1" applyBorder="1" applyAlignment="1">
      <alignment horizontal="center" wrapText="1"/>
    </xf>
    <xf numFmtId="165" fontId="20" fillId="8" borderId="14" xfId="3" applyNumberFormat="1" applyFont="1" applyFill="1" applyBorder="1" applyAlignment="1">
      <alignment horizontal="center" wrapText="1"/>
    </xf>
    <xf numFmtId="165" fontId="20" fillId="8" borderId="16" xfId="3" applyNumberFormat="1" applyFont="1" applyFill="1" applyBorder="1" applyAlignment="1">
      <alignment horizontal="center" wrapText="1"/>
    </xf>
    <xf numFmtId="165" fontId="20" fillId="8" borderId="19" xfId="3" applyNumberFormat="1" applyFont="1" applyFill="1" applyBorder="1" applyAlignment="1">
      <alignment horizontal="center" wrapText="1"/>
    </xf>
    <xf numFmtId="165" fontId="20" fillId="7" borderId="12" xfId="9" applyNumberFormat="1" applyFont="1" applyFill="1" applyBorder="1" applyAlignment="1">
      <alignment horizontal="center"/>
    </xf>
    <xf numFmtId="165" fontId="20" fillId="7" borderId="13" xfId="9" applyNumberFormat="1" applyFont="1" applyFill="1" applyBorder="1" applyAlignment="1">
      <alignment horizontal="center"/>
    </xf>
    <xf numFmtId="3" fontId="23" fillId="9" borderId="16" xfId="1" applyNumberFormat="1" applyFont="1" applyFill="1" applyBorder="1" applyAlignment="1">
      <alignment horizontal="right" readingOrder="2"/>
    </xf>
    <xf numFmtId="3" fontId="23" fillId="9" borderId="5" xfId="1" applyNumberFormat="1" applyFont="1" applyFill="1" applyBorder="1" applyAlignment="1">
      <alignment horizontal="right" readingOrder="2"/>
    </xf>
    <xf numFmtId="3" fontId="20" fillId="9" borderId="7" xfId="1" applyNumberFormat="1" applyFont="1" applyFill="1" applyBorder="1" applyAlignment="1">
      <alignment horizontal="right" readingOrder="2"/>
    </xf>
    <xf numFmtId="3" fontId="23" fillId="9" borderId="7" xfId="1" applyNumberFormat="1" applyFont="1" applyFill="1" applyBorder="1" applyAlignment="1">
      <alignment horizontal="right" readingOrder="2"/>
    </xf>
    <xf numFmtId="0" fontId="22" fillId="0" borderId="0" xfId="1" applyFont="1" applyAlignment="1">
      <alignment horizontal="center" wrapText="1"/>
    </xf>
    <xf numFmtId="3" fontId="23" fillId="0" borderId="0" xfId="1" applyNumberFormat="1" applyFont="1" applyBorder="1" applyAlignment="1">
      <alignment horizontal="right" readingOrder="2"/>
    </xf>
    <xf numFmtId="3" fontId="20" fillId="0" borderId="0" xfId="1" applyNumberFormat="1" applyFont="1" applyBorder="1" applyAlignment="1">
      <alignment horizontal="right" readingOrder="2"/>
    </xf>
    <xf numFmtId="3" fontId="23" fillId="13" borderId="11" xfId="1" applyNumberFormat="1" applyFont="1" applyFill="1" applyBorder="1" applyAlignment="1">
      <alignment horizontal="right" vertical="center" readingOrder="2"/>
    </xf>
    <xf numFmtId="165" fontId="25" fillId="8" borderId="12" xfId="3" applyNumberFormat="1" applyFont="1" applyFill="1" applyBorder="1" applyAlignment="1">
      <alignment horizontal="center" vertical="center"/>
    </xf>
    <xf numFmtId="165" fontId="25" fillId="8" borderId="11" xfId="3" applyNumberFormat="1" applyFont="1" applyFill="1" applyBorder="1" applyAlignment="1">
      <alignment horizontal="center" vertical="center"/>
    </xf>
    <xf numFmtId="3" fontId="20" fillId="9" borderId="5" xfId="1" applyNumberFormat="1" applyFont="1" applyFill="1" applyBorder="1" applyAlignment="1">
      <alignment horizontal="right" readingOrder="2"/>
    </xf>
    <xf numFmtId="3" fontId="20" fillId="9" borderId="14" xfId="1" applyNumberFormat="1" applyFont="1" applyFill="1" applyBorder="1" applyAlignment="1">
      <alignment horizontal="right" readingOrder="2"/>
    </xf>
    <xf numFmtId="3" fontId="23" fillId="13" borderId="11" xfId="1" applyNumberFormat="1" applyFont="1" applyFill="1" applyBorder="1" applyAlignment="1">
      <alignment horizontal="right" vertical="center" wrapText="1" readingOrder="2"/>
    </xf>
    <xf numFmtId="9" fontId="20" fillId="7" borderId="11" xfId="9" applyFont="1" applyFill="1" applyBorder="1" applyAlignment="1">
      <alignment horizontal="center" vertical="center"/>
    </xf>
    <xf numFmtId="0" fontId="22" fillId="0" borderId="0" xfId="1" applyFont="1" applyAlignment="1">
      <alignment horizontal="center" vertical="center" wrapText="1"/>
    </xf>
    <xf numFmtId="0" fontId="26" fillId="2" borderId="3" xfId="0" applyFont="1" applyFill="1" applyBorder="1" applyAlignment="1">
      <alignment horizontal="right" vertical="center" wrapText="1" readingOrder="2"/>
    </xf>
    <xf numFmtId="0" fontId="26" fillId="2" borderId="3" xfId="0" applyFont="1" applyFill="1" applyBorder="1" applyAlignment="1">
      <alignment vertical="center" wrapText="1"/>
    </xf>
    <xf numFmtId="3" fontId="20" fillId="17" borderId="11" xfId="1" applyNumberFormat="1" applyFont="1" applyFill="1" applyBorder="1" applyAlignment="1">
      <alignment horizontal="right" vertical="center" wrapText="1" readingOrder="2"/>
    </xf>
    <xf numFmtId="9" fontId="23" fillId="27" borderId="10" xfId="3" applyFont="1" applyFill="1" applyBorder="1" applyAlignment="1">
      <alignment horizontal="center" vertical="center"/>
    </xf>
    <xf numFmtId="9" fontId="23" fillId="27" borderId="11" xfId="3" applyFont="1" applyFill="1" applyBorder="1" applyAlignment="1">
      <alignment horizontal="center" vertical="center"/>
    </xf>
    <xf numFmtId="0" fontId="26" fillId="3" borderId="3" xfId="0" applyFont="1" applyFill="1" applyBorder="1" applyAlignment="1">
      <alignment horizontal="right" vertical="center" wrapText="1" readingOrder="2"/>
    </xf>
    <xf numFmtId="0" fontId="26" fillId="3" borderId="3" xfId="0" applyFont="1" applyFill="1" applyBorder="1" applyAlignment="1">
      <alignment vertical="center" wrapText="1"/>
    </xf>
    <xf numFmtId="3" fontId="26" fillId="17" borderId="11" xfId="1" applyNumberFormat="1" applyFont="1" applyFill="1" applyBorder="1" applyAlignment="1">
      <alignment horizontal="right" vertical="center" wrapText="1" readingOrder="2"/>
    </xf>
    <xf numFmtId="0" fontId="21" fillId="11" borderId="9" xfId="1" applyFont="1" applyFill="1" applyBorder="1" applyAlignment="1">
      <alignment horizontal="left"/>
    </xf>
    <xf numFmtId="9" fontId="23" fillId="16" borderId="10" xfId="3" applyFont="1" applyFill="1" applyBorder="1" applyAlignment="1">
      <alignment horizontal="center" vertical="center"/>
    </xf>
    <xf numFmtId="0" fontId="20" fillId="0" borderId="0" xfId="0" applyFont="1" applyFill="1" applyBorder="1" applyAlignment="1">
      <alignment horizontal="right" wrapText="1" readingOrder="2"/>
    </xf>
    <xf numFmtId="0" fontId="20" fillId="0" borderId="0" xfId="0" applyFont="1" applyFill="1" applyBorder="1" applyAlignment="1">
      <alignment horizontal="left" wrapText="1"/>
    </xf>
    <xf numFmtId="0" fontId="25" fillId="0" borderId="0" xfId="0" applyFont="1" applyFill="1" applyBorder="1"/>
    <xf numFmtId="0" fontId="20" fillId="0" borderId="0" xfId="0" applyFont="1" applyFill="1" applyBorder="1" applyAlignment="1">
      <alignment horizontal="right" wrapText="1"/>
    </xf>
    <xf numFmtId="165" fontId="23" fillId="8" borderId="5" xfId="3" applyNumberFormat="1" applyFont="1" applyFill="1" applyBorder="1" applyAlignment="1">
      <alignment horizontal="right" vertical="center" wrapText="1" readingOrder="2"/>
    </xf>
    <xf numFmtId="0" fontId="23" fillId="32" borderId="5" xfId="0" applyFont="1" applyFill="1" applyBorder="1" applyAlignment="1">
      <alignment horizontal="center" vertical="center" wrapText="1"/>
    </xf>
    <xf numFmtId="0" fontId="23" fillId="32" borderId="11" xfId="0" applyFont="1" applyFill="1" applyBorder="1" applyAlignment="1">
      <alignment horizontal="center" vertical="center" wrapText="1"/>
    </xf>
    <xf numFmtId="0" fontId="23" fillId="32" borderId="12" xfId="0" applyFont="1" applyFill="1" applyBorder="1" applyAlignment="1">
      <alignment horizontal="center" vertical="center" wrapText="1"/>
    </xf>
    <xf numFmtId="0" fontId="25" fillId="0" borderId="0" xfId="0" applyFont="1"/>
    <xf numFmtId="3" fontId="20" fillId="9" borderId="12" xfId="0" applyNumberFormat="1" applyFont="1" applyFill="1" applyBorder="1" applyAlignment="1">
      <alignment horizontal="right" readingOrder="2"/>
    </xf>
    <xf numFmtId="9" fontId="20" fillId="7" borderId="17" xfId="3" applyNumberFormat="1" applyFont="1" applyFill="1" applyBorder="1" applyAlignment="1">
      <alignment horizontal="center"/>
    </xf>
    <xf numFmtId="9" fontId="20" fillId="7" borderId="0" xfId="3" applyNumberFormat="1" applyFont="1" applyFill="1" applyBorder="1" applyAlignment="1">
      <alignment horizontal="center"/>
    </xf>
    <xf numFmtId="3" fontId="20" fillId="9" borderId="12" xfId="0" applyNumberFormat="1" applyFont="1" applyFill="1" applyBorder="1" applyAlignment="1">
      <alignment horizontal="right"/>
    </xf>
    <xf numFmtId="9" fontId="20" fillId="7" borderId="6" xfId="3" applyNumberFormat="1" applyFont="1" applyFill="1" applyBorder="1" applyAlignment="1">
      <alignment horizontal="center"/>
    </xf>
    <xf numFmtId="9" fontId="20" fillId="7" borderId="12" xfId="3" applyNumberFormat="1" applyFont="1" applyFill="1" applyBorder="1" applyAlignment="1">
      <alignment horizontal="center"/>
    </xf>
    <xf numFmtId="3" fontId="20" fillId="9" borderId="13" xfId="0" applyNumberFormat="1" applyFont="1" applyFill="1" applyBorder="1" applyAlignment="1">
      <alignment horizontal="right" readingOrder="2"/>
    </xf>
    <xf numFmtId="9" fontId="20" fillId="7" borderId="18" xfId="3" applyNumberFormat="1" applyFont="1" applyFill="1" applyBorder="1" applyAlignment="1">
      <alignment horizontal="center"/>
    </xf>
    <xf numFmtId="3" fontId="20" fillId="9" borderId="13" xfId="0" applyNumberFormat="1" applyFont="1" applyFill="1" applyBorder="1" applyAlignment="1">
      <alignment horizontal="right"/>
    </xf>
    <xf numFmtId="9" fontId="20" fillId="7" borderId="13" xfId="3" applyNumberFormat="1" applyFont="1" applyFill="1" applyBorder="1" applyAlignment="1">
      <alignment horizontal="center"/>
    </xf>
    <xf numFmtId="3" fontId="20" fillId="9" borderId="16" xfId="0" applyNumberFormat="1" applyFont="1" applyFill="1" applyBorder="1" applyAlignment="1">
      <alignment horizontal="right" readingOrder="2"/>
    </xf>
    <xf numFmtId="9" fontId="20" fillId="7" borderId="19" xfId="3" applyNumberFormat="1" applyFont="1" applyFill="1" applyBorder="1" applyAlignment="1">
      <alignment horizontal="center"/>
    </xf>
    <xf numFmtId="9" fontId="20" fillId="7" borderId="15" xfId="3" applyNumberFormat="1" applyFont="1" applyFill="1" applyBorder="1" applyAlignment="1">
      <alignment horizontal="center"/>
    </xf>
    <xf numFmtId="3" fontId="20" fillId="9" borderId="16" xfId="0" applyNumberFormat="1" applyFont="1" applyFill="1" applyBorder="1" applyAlignment="1">
      <alignment horizontal="right"/>
    </xf>
    <xf numFmtId="9" fontId="20" fillId="7" borderId="16" xfId="3" applyNumberFormat="1" applyFont="1" applyFill="1" applyBorder="1" applyAlignment="1">
      <alignment horizontal="center"/>
    </xf>
    <xf numFmtId="165" fontId="23" fillId="8" borderId="8" xfId="3" applyNumberFormat="1" applyFont="1" applyFill="1" applyBorder="1" applyAlignment="1">
      <alignment horizontal="right" vertical="center" wrapText="1" readingOrder="2"/>
    </xf>
    <xf numFmtId="3" fontId="20" fillId="9" borderId="7" xfId="0" applyNumberFormat="1" applyFont="1" applyFill="1" applyBorder="1" applyAlignment="1">
      <alignment horizontal="right" readingOrder="2"/>
    </xf>
    <xf numFmtId="3" fontId="20" fillId="9" borderId="14" xfId="0" applyNumberFormat="1" applyFont="1" applyFill="1" applyBorder="1" applyAlignment="1">
      <alignment horizontal="right" readingOrder="2"/>
    </xf>
    <xf numFmtId="0" fontId="25" fillId="0" borderId="0" xfId="0" applyFont="1" applyAlignment="1">
      <alignment horizontal="right" readingOrder="2"/>
    </xf>
    <xf numFmtId="0" fontId="25" fillId="0" borderId="0" xfId="0" applyFont="1" applyAlignment="1">
      <alignment horizontal="right"/>
    </xf>
    <xf numFmtId="0" fontId="28" fillId="0" borderId="0" xfId="0" applyFont="1" applyAlignment="1">
      <alignment horizontal="right" readingOrder="2"/>
    </xf>
    <xf numFmtId="0" fontId="28" fillId="0" borderId="0" xfId="0" applyFont="1"/>
    <xf numFmtId="0" fontId="28" fillId="0" borderId="0" xfId="0" applyFont="1" applyAlignment="1">
      <alignment horizontal="right"/>
    </xf>
    <xf numFmtId="3" fontId="24" fillId="0" borderId="0" xfId="1" applyNumberFormat="1" applyFont="1" applyBorder="1" applyAlignment="1">
      <alignment horizontal="right"/>
    </xf>
    <xf numFmtId="0" fontId="20" fillId="13" borderId="13" xfId="1" applyFont="1" applyFill="1" applyBorder="1" applyAlignment="1">
      <alignment horizontal="center" vertical="center" wrapText="1"/>
    </xf>
    <xf numFmtId="0" fontId="19" fillId="24" borderId="9" xfId="1" applyFont="1" applyFill="1" applyBorder="1" applyAlignment="1"/>
    <xf numFmtId="0" fontId="30" fillId="0" borderId="0" xfId="1" applyFont="1"/>
    <xf numFmtId="0" fontId="30" fillId="0" borderId="0" xfId="1" applyFont="1" applyFill="1" applyBorder="1" applyAlignment="1">
      <alignment horizontal="left" wrapText="1"/>
    </xf>
    <xf numFmtId="0" fontId="30" fillId="0" borderId="0" xfId="1" applyFont="1" applyFill="1"/>
    <xf numFmtId="0" fontId="30" fillId="11" borderId="0" xfId="1" applyFont="1" applyFill="1"/>
    <xf numFmtId="0" fontId="19" fillId="4" borderId="12" xfId="1" applyFont="1" applyFill="1" applyBorder="1" applyAlignment="1">
      <alignment horizontal="center" wrapText="1"/>
    </xf>
    <xf numFmtId="0" fontId="19" fillId="4" borderId="11" xfId="1" applyFont="1" applyFill="1" applyBorder="1" applyAlignment="1">
      <alignment horizontal="center" wrapText="1"/>
    </xf>
    <xf numFmtId="0" fontId="30" fillId="10" borderId="11" xfId="1" applyFont="1" applyFill="1" applyBorder="1" applyAlignment="1">
      <alignment horizontal="center" vertical="center" wrapText="1"/>
    </xf>
    <xf numFmtId="0" fontId="30" fillId="13" borderId="11" xfId="1"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3" borderId="11" xfId="0" applyFont="1" applyFill="1" applyBorder="1" applyAlignment="1">
      <alignment horizontal="center" vertical="center" wrapText="1"/>
    </xf>
    <xf numFmtId="0" fontId="31" fillId="10" borderId="11" xfId="1" applyFont="1" applyFill="1" applyBorder="1" applyAlignment="1">
      <alignment horizontal="center" vertical="center" wrapText="1"/>
    </xf>
    <xf numFmtId="3" fontId="29" fillId="23" borderId="6" xfId="1" applyNumberFormat="1" applyFont="1" applyFill="1" applyBorder="1" applyAlignment="1">
      <alignment horizontal="right"/>
    </xf>
    <xf numFmtId="3" fontId="29" fillId="23" borderId="0" xfId="1" applyNumberFormat="1" applyFont="1" applyFill="1" applyBorder="1" applyAlignment="1">
      <alignment horizontal="right"/>
    </xf>
    <xf numFmtId="3" fontId="29" fillId="23" borderId="6" xfId="1" applyNumberFormat="1" applyFont="1" applyFill="1" applyBorder="1" applyAlignment="1">
      <alignment horizontal="center"/>
    </xf>
    <xf numFmtId="3" fontId="29" fillId="23" borderId="0" xfId="1" applyNumberFormat="1" applyFont="1" applyFill="1" applyAlignment="1">
      <alignment horizontal="right"/>
    </xf>
    <xf numFmtId="3" fontId="20" fillId="0" borderId="6" xfId="1" applyNumberFormat="1" applyFont="1" applyBorder="1" applyAlignment="1">
      <alignment horizontal="right"/>
    </xf>
    <xf numFmtId="3" fontId="22" fillId="0" borderId="6" xfId="1" applyNumberFormat="1" applyFont="1" applyBorder="1" applyAlignment="1">
      <alignment horizontal="center"/>
    </xf>
    <xf numFmtId="3" fontId="20" fillId="0" borderId="0" xfId="1" applyNumberFormat="1" applyFont="1" applyAlignment="1">
      <alignment horizontal="right"/>
    </xf>
    <xf numFmtId="3" fontId="23" fillId="0" borderId="0" xfId="1" applyNumberFormat="1" applyFont="1" applyFill="1" applyBorder="1" applyAlignment="1">
      <alignment horizontal="center"/>
    </xf>
    <xf numFmtId="165" fontId="23" fillId="18" borderId="8" xfId="3" applyNumberFormat="1" applyFont="1" applyFill="1" applyBorder="1" applyAlignment="1">
      <alignment horizontal="center" wrapText="1"/>
    </xf>
    <xf numFmtId="1" fontId="20" fillId="0" borderId="0" xfId="1" applyNumberFormat="1" applyFont="1" applyBorder="1" applyAlignment="1">
      <alignment horizontal="left"/>
    </xf>
    <xf numFmtId="1" fontId="23" fillId="6" borderId="12" xfId="2" applyNumberFormat="1" applyFont="1" applyFill="1" applyBorder="1" applyAlignment="1">
      <alignment horizontal="center"/>
    </xf>
    <xf numFmtId="1" fontId="23" fillId="17" borderId="13" xfId="1" applyNumberFormat="1" applyFont="1" applyFill="1" applyBorder="1" applyAlignment="1">
      <alignment horizontal="center"/>
    </xf>
    <xf numFmtId="1" fontId="23" fillId="6" borderId="13" xfId="2" applyNumberFormat="1" applyFont="1" applyFill="1" applyBorder="1" applyAlignment="1">
      <alignment horizontal="center"/>
    </xf>
    <xf numFmtId="0" fontId="23" fillId="17" borderId="13" xfId="1" applyNumberFormat="1" applyFont="1" applyFill="1" applyBorder="1" applyAlignment="1">
      <alignment horizontal="center"/>
    </xf>
    <xf numFmtId="1" fontId="23" fillId="17" borderId="13" xfId="1" applyNumberFormat="1" applyFont="1" applyFill="1" applyBorder="1" applyAlignment="1">
      <alignment horizontal="center" wrapText="1"/>
    </xf>
    <xf numFmtId="3" fontId="23" fillId="17" borderId="16" xfId="1" applyNumberFormat="1" applyFont="1" applyFill="1" applyBorder="1" applyAlignment="1">
      <alignment horizontal="center"/>
    </xf>
    <xf numFmtId="3" fontId="20" fillId="0" borderId="0" xfId="1" applyNumberFormat="1" applyFont="1" applyBorder="1" applyAlignment="1">
      <alignment horizontal="left"/>
    </xf>
    <xf numFmtId="3" fontId="20" fillId="0" borderId="0" xfId="1" applyNumberFormat="1" applyFont="1" applyBorder="1" applyAlignment="1">
      <alignment horizontal="center"/>
    </xf>
    <xf numFmtId="3" fontId="23" fillId="0" borderId="0" xfId="1" applyNumberFormat="1" applyFont="1" applyFill="1" applyBorder="1" applyAlignment="1">
      <alignment horizontal="right"/>
    </xf>
    <xf numFmtId="2" fontId="23" fillId="0" borderId="0" xfId="2" applyNumberFormat="1" applyFont="1" applyFill="1" applyBorder="1" applyAlignment="1">
      <alignment horizontal="center"/>
    </xf>
    <xf numFmtId="165" fontId="23" fillId="0" borderId="0" xfId="3" applyNumberFormat="1" applyFont="1" applyFill="1" applyBorder="1" applyAlignment="1">
      <alignment horizontal="center"/>
    </xf>
    <xf numFmtId="3" fontId="23" fillId="0" borderId="0" xfId="1" applyNumberFormat="1" applyFont="1" applyBorder="1" applyAlignment="1">
      <alignment horizontal="right"/>
    </xf>
    <xf numFmtId="3" fontId="23" fillId="6" borderId="13" xfId="1" applyNumberFormat="1" applyFont="1" applyFill="1" applyBorder="1" applyAlignment="1">
      <alignment horizontal="right"/>
    </xf>
    <xf numFmtId="3" fontId="23" fillId="0" borderId="15" xfId="1" applyNumberFormat="1" applyFont="1" applyBorder="1" applyAlignment="1">
      <alignment horizontal="right"/>
    </xf>
    <xf numFmtId="165" fontId="23" fillId="6" borderId="11" xfId="3" applyNumberFormat="1" applyFont="1" applyFill="1" applyBorder="1" applyAlignment="1">
      <alignment horizontal="center"/>
    </xf>
    <xf numFmtId="165" fontId="25" fillId="8" borderId="5" xfId="3" applyNumberFormat="1" applyFont="1" applyFill="1" applyBorder="1" applyAlignment="1">
      <alignment horizontal="right"/>
    </xf>
    <xf numFmtId="165" fontId="25" fillId="8" borderId="6" xfId="3" applyNumberFormat="1" applyFont="1" applyFill="1" applyBorder="1" applyAlignment="1">
      <alignment horizontal="right"/>
    </xf>
    <xf numFmtId="165" fontId="25" fillId="8" borderId="7" xfId="3" applyNumberFormat="1" applyFont="1" applyFill="1" applyBorder="1" applyAlignment="1">
      <alignment horizontal="right"/>
    </xf>
    <xf numFmtId="165" fontId="25" fillId="8" borderId="0" xfId="3" applyNumberFormat="1" applyFont="1" applyFill="1" applyBorder="1" applyAlignment="1">
      <alignment horizontal="right"/>
    </xf>
    <xf numFmtId="165" fontId="25" fillId="8" borderId="14" xfId="3" applyNumberFormat="1" applyFont="1" applyFill="1" applyBorder="1" applyAlignment="1">
      <alignment horizontal="right"/>
    </xf>
    <xf numFmtId="165" fontId="25" fillId="8" borderId="15" xfId="3" applyNumberFormat="1" applyFont="1" applyFill="1" applyBorder="1" applyAlignment="1">
      <alignment horizontal="right"/>
    </xf>
    <xf numFmtId="3" fontId="33" fillId="0" borderId="0" xfId="1" applyNumberFormat="1" applyFont="1" applyBorder="1" applyAlignment="1">
      <alignment horizontal="right"/>
    </xf>
    <xf numFmtId="3" fontId="20" fillId="0" borderId="0" xfId="1" applyNumberFormat="1" applyFont="1" applyFill="1" applyBorder="1" applyAlignment="1">
      <alignment horizontal="right"/>
    </xf>
    <xf numFmtId="3" fontId="20" fillId="9" borderId="6" xfId="1" applyNumberFormat="1" applyFont="1" applyFill="1" applyBorder="1" applyAlignment="1">
      <alignment horizontal="right"/>
    </xf>
    <xf numFmtId="3" fontId="20" fillId="9" borderId="17" xfId="1" applyNumberFormat="1" applyFont="1" applyFill="1" applyBorder="1" applyAlignment="1">
      <alignment horizontal="right"/>
    </xf>
    <xf numFmtId="3" fontId="20" fillId="9" borderId="7" xfId="1" applyNumberFormat="1" applyFont="1" applyFill="1" applyBorder="1" applyAlignment="1">
      <alignment horizontal="right"/>
    </xf>
    <xf numFmtId="3" fontId="20" fillId="9" borderId="0" xfId="1" applyNumberFormat="1" applyFont="1" applyFill="1" applyBorder="1" applyAlignment="1">
      <alignment horizontal="right"/>
    </xf>
    <xf numFmtId="3" fontId="20" fillId="9" borderId="18" xfId="1" applyNumberFormat="1" applyFont="1" applyFill="1" applyBorder="1" applyAlignment="1">
      <alignment horizontal="right"/>
    </xf>
    <xf numFmtId="3" fontId="20" fillId="17" borderId="7" xfId="1" applyNumberFormat="1" applyFont="1" applyFill="1" applyBorder="1" applyAlignment="1">
      <alignment horizontal="right"/>
    </xf>
    <xf numFmtId="3" fontId="20" fillId="17" borderId="0" xfId="1" applyNumberFormat="1" applyFont="1" applyFill="1" applyBorder="1" applyAlignment="1">
      <alignment horizontal="right"/>
    </xf>
    <xf numFmtId="3" fontId="20" fillId="17" borderId="14" xfId="1" applyNumberFormat="1" applyFont="1" applyFill="1" applyBorder="1" applyAlignment="1">
      <alignment horizontal="right"/>
    </xf>
    <xf numFmtId="3" fontId="20" fillId="17" borderId="15" xfId="1" applyNumberFormat="1" applyFont="1" applyFill="1" applyBorder="1" applyAlignment="1">
      <alignment horizontal="right"/>
    </xf>
    <xf numFmtId="3" fontId="20" fillId="0" borderId="0" xfId="1" applyNumberFormat="1" applyFont="1" applyFill="1" applyBorder="1" applyAlignment="1">
      <alignment horizontal="left"/>
    </xf>
    <xf numFmtId="3" fontId="20" fillId="9" borderId="18" xfId="1" applyNumberFormat="1" applyFont="1" applyFill="1" applyBorder="1" applyAlignment="1">
      <alignment horizontal="right" wrapText="1"/>
    </xf>
    <xf numFmtId="3" fontId="20" fillId="9" borderId="14" xfId="1" applyNumberFormat="1" applyFont="1" applyFill="1" applyBorder="1" applyAlignment="1">
      <alignment horizontal="right"/>
    </xf>
    <xf numFmtId="3" fontId="20" fillId="9" borderId="15" xfId="1" applyNumberFormat="1" applyFont="1" applyFill="1" applyBorder="1" applyAlignment="1">
      <alignment horizontal="right"/>
    </xf>
    <xf numFmtId="3" fontId="20" fillId="9" borderId="19" xfId="1" applyNumberFormat="1" applyFont="1" applyFill="1" applyBorder="1" applyAlignment="1">
      <alignment horizontal="right"/>
    </xf>
    <xf numFmtId="3" fontId="23" fillId="6" borderId="16" xfId="1" applyNumberFormat="1" applyFont="1" applyFill="1" applyBorder="1" applyAlignment="1">
      <alignment horizontal="right"/>
    </xf>
    <xf numFmtId="3" fontId="24" fillId="0" borderId="0" xfId="1" applyNumberFormat="1" applyFont="1" applyBorder="1" applyAlignment="1">
      <alignment horizontal="left"/>
    </xf>
    <xf numFmtId="3" fontId="20" fillId="9" borderId="5" xfId="1" applyNumberFormat="1" applyFont="1" applyFill="1" applyBorder="1" applyAlignment="1">
      <alignment horizontal="right"/>
    </xf>
    <xf numFmtId="3" fontId="22" fillId="17" borderId="7" xfId="1" applyNumberFormat="1" applyFont="1" applyFill="1" applyBorder="1" applyAlignment="1">
      <alignment horizontal="right"/>
    </xf>
    <xf numFmtId="3" fontId="22" fillId="17" borderId="0" xfId="1" applyNumberFormat="1" applyFont="1" applyFill="1" applyBorder="1" applyAlignment="1">
      <alignment horizontal="right"/>
    </xf>
    <xf numFmtId="165" fontId="25" fillId="10" borderId="8" xfId="3" applyNumberFormat="1" applyFont="1" applyFill="1" applyBorder="1" applyAlignment="1">
      <alignment horizontal="right"/>
    </xf>
    <xf numFmtId="165" fontId="25" fillId="10" borderId="9" xfId="3" applyNumberFormat="1" applyFont="1" applyFill="1" applyBorder="1" applyAlignment="1">
      <alignment horizontal="right"/>
    </xf>
    <xf numFmtId="3" fontId="24" fillId="0" borderId="0" xfId="1" applyNumberFormat="1" applyFont="1" applyFill="1" applyBorder="1" applyAlignment="1">
      <alignment horizontal="right"/>
    </xf>
    <xf numFmtId="3" fontId="24" fillId="0" borderId="0" xfId="1" applyNumberFormat="1" applyFont="1" applyFill="1" applyBorder="1" applyAlignment="1">
      <alignment horizontal="left"/>
    </xf>
    <xf numFmtId="0" fontId="25" fillId="0" borderId="0" xfId="0" applyFont="1" applyAlignment="1">
      <alignment horizontal="right" vertical="top"/>
    </xf>
    <xf numFmtId="0" fontId="25" fillId="0" borderId="0" xfId="0" applyFont="1" applyAlignment="1">
      <alignment horizontal="left" vertical="top"/>
    </xf>
    <xf numFmtId="3" fontId="22" fillId="17" borderId="14" xfId="1" applyNumberFormat="1" applyFont="1" applyFill="1" applyBorder="1" applyAlignment="1">
      <alignment horizontal="right"/>
    </xf>
    <xf numFmtId="3" fontId="22" fillId="17" borderId="15" xfId="1" applyNumberFormat="1" applyFont="1" applyFill="1" applyBorder="1" applyAlignment="1">
      <alignment horizontal="right"/>
    </xf>
    <xf numFmtId="3" fontId="25" fillId="0" borderId="0" xfId="1" applyNumberFormat="1" applyFont="1" applyFill="1" applyBorder="1" applyAlignment="1">
      <alignment horizontal="right" wrapText="1"/>
    </xf>
    <xf numFmtId="3" fontId="22" fillId="0" borderId="0" xfId="1" applyNumberFormat="1" applyFont="1" applyFill="1" applyBorder="1" applyAlignment="1">
      <alignment horizontal="right"/>
    </xf>
    <xf numFmtId="3" fontId="34" fillId="0" borderId="0" xfId="1" applyNumberFormat="1" applyFont="1" applyFill="1" applyBorder="1" applyAlignment="1">
      <alignment horizontal="right"/>
    </xf>
    <xf numFmtId="3" fontId="20" fillId="0" borderId="15" xfId="1" applyNumberFormat="1" applyFont="1" applyFill="1" applyBorder="1" applyAlignment="1">
      <alignment horizontal="right"/>
    </xf>
    <xf numFmtId="3" fontId="23" fillId="0" borderId="0" xfId="0" applyNumberFormat="1" applyFont="1" applyFill="1" applyBorder="1" applyAlignment="1">
      <alignment horizontal="center"/>
    </xf>
    <xf numFmtId="3" fontId="28" fillId="0" borderId="0" xfId="0" applyNumberFormat="1" applyFont="1" applyFill="1" applyBorder="1" applyAlignment="1">
      <alignment horizontal="right"/>
    </xf>
    <xf numFmtId="3" fontId="21" fillId="0" borderId="0" xfId="0" applyNumberFormat="1" applyFont="1" applyFill="1" applyBorder="1" applyAlignment="1">
      <alignment horizontal="right"/>
    </xf>
    <xf numFmtId="3" fontId="23" fillId="0" borderId="0" xfId="0" applyNumberFormat="1" applyFont="1" applyFill="1" applyBorder="1" applyAlignment="1">
      <alignment horizontal="right"/>
    </xf>
    <xf numFmtId="3" fontId="23" fillId="0" borderId="0" xfId="0" applyNumberFormat="1" applyFont="1" applyFill="1" applyBorder="1" applyAlignment="1">
      <alignment horizontal="left"/>
    </xf>
    <xf numFmtId="165" fontId="23" fillId="0" borderId="0" xfId="3" applyNumberFormat="1" applyFont="1" applyFill="1" applyBorder="1" applyAlignment="1">
      <alignment horizontal="center" wrapText="1"/>
    </xf>
    <xf numFmtId="3" fontId="24" fillId="11" borderId="10" xfId="6" applyNumberFormat="1" applyFont="1" applyFill="1" applyBorder="1" applyAlignment="1">
      <alignment horizontal="right"/>
    </xf>
    <xf numFmtId="3" fontId="20" fillId="0" borderId="0" xfId="0" applyNumberFormat="1" applyFont="1" applyBorder="1" applyAlignment="1">
      <alignment horizontal="right"/>
    </xf>
    <xf numFmtId="3" fontId="28" fillId="0" borderId="0" xfId="0" applyNumberFormat="1" applyFont="1" applyBorder="1" applyAlignment="1">
      <alignment horizontal="right"/>
    </xf>
    <xf numFmtId="3" fontId="20" fillId="0" borderId="0" xfId="0" applyNumberFormat="1" applyFont="1" applyBorder="1" applyAlignment="1">
      <alignment horizontal="left"/>
    </xf>
    <xf numFmtId="3" fontId="28" fillId="10" borderId="0" xfId="0" applyNumberFormat="1" applyFont="1" applyFill="1" applyBorder="1" applyAlignment="1">
      <alignment horizontal="right"/>
    </xf>
    <xf numFmtId="3" fontId="22" fillId="10" borderId="0" xfId="0" applyNumberFormat="1" applyFont="1" applyFill="1" applyBorder="1" applyAlignment="1">
      <alignment horizontal="right"/>
    </xf>
    <xf numFmtId="3" fontId="20" fillId="0" borderId="0" xfId="0" applyNumberFormat="1" applyFont="1" applyAlignment="1">
      <alignment horizontal="right"/>
    </xf>
    <xf numFmtId="3" fontId="25" fillId="10" borderId="0" xfId="0" applyNumberFormat="1" applyFont="1" applyFill="1" applyBorder="1" applyAlignment="1">
      <alignment horizontal="right"/>
    </xf>
    <xf numFmtId="3" fontId="23" fillId="4" borderId="11" xfId="1" applyNumberFormat="1" applyFont="1" applyFill="1" applyBorder="1" applyAlignment="1">
      <alignment horizontal="center" vertical="center"/>
    </xf>
    <xf numFmtId="165" fontId="23" fillId="18" borderId="11" xfId="3" applyNumberFormat="1" applyFont="1" applyFill="1" applyBorder="1" applyAlignment="1">
      <alignment horizontal="center" wrapText="1"/>
    </xf>
    <xf numFmtId="165" fontId="25" fillId="8" borderId="17" xfId="3" applyNumberFormat="1" applyFont="1" applyFill="1" applyBorder="1" applyAlignment="1">
      <alignment horizontal="right"/>
    </xf>
    <xf numFmtId="165" fontId="25" fillId="8" borderId="18" xfId="3" applyNumberFormat="1" applyFont="1" applyFill="1" applyBorder="1" applyAlignment="1">
      <alignment horizontal="right"/>
    </xf>
    <xf numFmtId="165" fontId="25" fillId="8" borderId="19" xfId="3" applyNumberFormat="1" applyFont="1" applyFill="1" applyBorder="1" applyAlignment="1">
      <alignment horizontal="right"/>
    </xf>
    <xf numFmtId="3" fontId="20" fillId="17" borderId="18" xfId="1" applyNumberFormat="1" applyFont="1" applyFill="1" applyBorder="1" applyAlignment="1">
      <alignment horizontal="right"/>
    </xf>
    <xf numFmtId="3" fontId="20" fillId="17" borderId="19" xfId="1" applyNumberFormat="1" applyFont="1" applyFill="1" applyBorder="1" applyAlignment="1">
      <alignment horizontal="right"/>
    </xf>
    <xf numFmtId="3" fontId="22" fillId="17" borderId="18" xfId="1" applyNumberFormat="1" applyFont="1" applyFill="1" applyBorder="1" applyAlignment="1">
      <alignment horizontal="right"/>
    </xf>
    <xf numFmtId="3" fontId="22" fillId="17" borderId="19" xfId="1" applyNumberFormat="1" applyFont="1" applyFill="1" applyBorder="1" applyAlignment="1">
      <alignment horizontal="right"/>
    </xf>
    <xf numFmtId="2" fontId="23" fillId="6" borderId="11" xfId="2" applyNumberFormat="1" applyFont="1" applyFill="1" applyBorder="1" applyAlignment="1">
      <alignment horizontal="center" vertical="center"/>
    </xf>
    <xf numFmtId="3" fontId="23" fillId="6" borderId="12" xfId="1" applyNumberFormat="1" applyFont="1" applyFill="1" applyBorder="1" applyAlignment="1">
      <alignment horizontal="center"/>
    </xf>
    <xf numFmtId="3" fontId="23" fillId="0" borderId="0" xfId="1" applyNumberFormat="1" applyFont="1" applyBorder="1" applyAlignment="1">
      <alignment horizontal="center"/>
    </xf>
    <xf numFmtId="3" fontId="21" fillId="17" borderId="5" xfId="4" applyNumberFormat="1" applyFont="1" applyFill="1" applyBorder="1" applyAlignment="1">
      <alignment horizontal="center"/>
    </xf>
    <xf numFmtId="3" fontId="21" fillId="17" borderId="6" xfId="4" applyNumberFormat="1" applyFont="1" applyFill="1" applyBorder="1" applyAlignment="1">
      <alignment horizontal="center"/>
    </xf>
    <xf numFmtId="3" fontId="21" fillId="17" borderId="17" xfId="4" applyNumberFormat="1" applyFont="1" applyFill="1" applyBorder="1" applyAlignment="1">
      <alignment horizontal="center"/>
    </xf>
    <xf numFmtId="9" fontId="23" fillId="6" borderId="13" xfId="3" applyFont="1" applyFill="1" applyBorder="1" applyAlignment="1">
      <alignment horizontal="center"/>
    </xf>
    <xf numFmtId="165" fontId="32" fillId="8" borderId="7" xfId="3" applyNumberFormat="1" applyFont="1" applyFill="1" applyBorder="1" applyAlignment="1">
      <alignment horizontal="center"/>
    </xf>
    <xf numFmtId="165" fontId="32" fillId="8" borderId="0" xfId="3" applyNumberFormat="1" applyFont="1" applyFill="1" applyBorder="1" applyAlignment="1">
      <alignment horizontal="center"/>
    </xf>
    <xf numFmtId="165" fontId="32" fillId="8" borderId="18" xfId="3" applyNumberFormat="1" applyFont="1" applyFill="1" applyBorder="1" applyAlignment="1">
      <alignment horizontal="center"/>
    </xf>
    <xf numFmtId="3" fontId="23" fillId="6" borderId="13" xfId="1" applyNumberFormat="1" applyFont="1" applyFill="1" applyBorder="1" applyAlignment="1">
      <alignment horizontal="center"/>
    </xf>
    <xf numFmtId="3" fontId="21" fillId="17" borderId="7" xfId="1" applyNumberFormat="1" applyFont="1" applyFill="1" applyBorder="1" applyAlignment="1">
      <alignment horizontal="center"/>
    </xf>
    <xf numFmtId="3" fontId="21" fillId="17" borderId="0" xfId="1" applyNumberFormat="1" applyFont="1" applyFill="1" applyBorder="1" applyAlignment="1">
      <alignment horizontal="center"/>
    </xf>
    <xf numFmtId="3" fontId="21" fillId="17" borderId="18" xfId="1" applyNumberFormat="1" applyFont="1" applyFill="1" applyBorder="1" applyAlignment="1">
      <alignment horizontal="center"/>
    </xf>
    <xf numFmtId="3" fontId="21" fillId="17" borderId="7" xfId="4" applyNumberFormat="1" applyFont="1" applyFill="1" applyBorder="1" applyAlignment="1">
      <alignment horizontal="center"/>
    </xf>
    <xf numFmtId="3" fontId="21" fillId="17" borderId="0" xfId="4" applyNumberFormat="1" applyFont="1" applyFill="1" applyBorder="1" applyAlignment="1">
      <alignment horizontal="center"/>
    </xf>
    <xf numFmtId="3" fontId="21" fillId="17" borderId="18" xfId="4" applyNumberFormat="1" applyFont="1" applyFill="1" applyBorder="1" applyAlignment="1">
      <alignment horizontal="center"/>
    </xf>
    <xf numFmtId="165" fontId="23" fillId="6" borderId="13" xfId="3" applyNumberFormat="1" applyFont="1" applyFill="1" applyBorder="1" applyAlignment="1">
      <alignment horizontal="center"/>
    </xf>
    <xf numFmtId="165" fontId="23" fillId="17" borderId="7" xfId="3" applyNumberFormat="1" applyFont="1" applyFill="1" applyBorder="1" applyAlignment="1">
      <alignment horizontal="center"/>
    </xf>
    <xf numFmtId="165" fontId="23" fillId="17" borderId="0" xfId="3" applyNumberFormat="1" applyFont="1" applyFill="1" applyBorder="1" applyAlignment="1">
      <alignment horizontal="center"/>
    </xf>
    <xf numFmtId="165" fontId="23" fillId="17" borderId="18" xfId="3" applyNumberFormat="1" applyFont="1" applyFill="1" applyBorder="1" applyAlignment="1">
      <alignment horizontal="center"/>
    </xf>
    <xf numFmtId="165" fontId="23" fillId="6" borderId="16" xfId="3" applyNumberFormat="1" applyFont="1" applyFill="1" applyBorder="1" applyAlignment="1">
      <alignment horizontal="center"/>
    </xf>
    <xf numFmtId="3" fontId="23" fillId="0" borderId="15" xfId="1" applyNumberFormat="1" applyFont="1" applyBorder="1" applyAlignment="1">
      <alignment horizontal="center"/>
    </xf>
    <xf numFmtId="165" fontId="23" fillId="17" borderId="14" xfId="3" applyNumberFormat="1" applyFont="1" applyFill="1" applyBorder="1" applyAlignment="1">
      <alignment horizontal="center"/>
    </xf>
    <xf numFmtId="165" fontId="23" fillId="17" borderId="15" xfId="3" applyNumberFormat="1" applyFont="1" applyFill="1" applyBorder="1" applyAlignment="1">
      <alignment horizontal="center"/>
    </xf>
    <xf numFmtId="165" fontId="23" fillId="17" borderId="19" xfId="3" applyNumberFormat="1" applyFont="1" applyFill="1" applyBorder="1" applyAlignment="1">
      <alignment horizontal="center"/>
    </xf>
    <xf numFmtId="3" fontId="20" fillId="9" borderId="0" xfId="1" applyNumberFormat="1" applyFont="1" applyFill="1" applyBorder="1" applyAlignment="1">
      <alignment horizontal="center"/>
    </xf>
    <xf numFmtId="3" fontId="20" fillId="9" borderId="18" xfId="1" applyNumberFormat="1" applyFont="1" applyFill="1" applyBorder="1" applyAlignment="1">
      <alignment horizontal="right" vertical="center" wrapText="1"/>
    </xf>
    <xf numFmtId="3" fontId="20" fillId="0" borderId="0" xfId="1" applyNumberFormat="1" applyFont="1" applyFill="1" applyBorder="1" applyAlignment="1">
      <alignment horizontal="center"/>
    </xf>
    <xf numFmtId="0" fontId="35" fillId="0" borderId="0" xfId="17"/>
    <xf numFmtId="165" fontId="23" fillId="6" borderId="12" xfId="3" applyNumberFormat="1" applyFont="1" applyFill="1" applyBorder="1" applyAlignment="1">
      <alignment horizontal="center"/>
    </xf>
    <xf numFmtId="3" fontId="24" fillId="0" borderId="0" xfId="1" applyNumberFormat="1" applyFont="1" applyBorder="1" applyAlignment="1">
      <alignment horizontal="center"/>
    </xf>
    <xf numFmtId="3" fontId="23" fillId="26" borderId="5" xfId="1" applyNumberFormat="1" applyFont="1" applyFill="1" applyBorder="1" applyAlignment="1">
      <alignment horizontal="center"/>
    </xf>
    <xf numFmtId="3" fontId="20" fillId="17" borderId="7" xfId="1" applyNumberFormat="1" applyFont="1" applyFill="1" applyBorder="1" applyAlignment="1">
      <alignment horizontal="center"/>
    </xf>
    <xf numFmtId="3" fontId="20" fillId="17" borderId="0" xfId="1" applyNumberFormat="1" applyFont="1" applyFill="1" applyBorder="1" applyAlignment="1">
      <alignment horizontal="center"/>
    </xf>
    <xf numFmtId="3" fontId="20" fillId="17" borderId="18" xfId="1" applyNumberFormat="1" applyFont="1" applyFill="1" applyBorder="1" applyAlignment="1">
      <alignment horizontal="center"/>
    </xf>
    <xf numFmtId="3" fontId="25" fillId="17" borderId="7" xfId="1" applyNumberFormat="1" applyFont="1" applyFill="1" applyBorder="1" applyAlignment="1">
      <alignment horizontal="center"/>
    </xf>
    <xf numFmtId="3" fontId="25" fillId="17" borderId="0" xfId="1" applyNumberFormat="1" applyFont="1" applyFill="1" applyBorder="1" applyAlignment="1">
      <alignment horizontal="center"/>
    </xf>
    <xf numFmtId="3" fontId="25" fillId="17" borderId="18" xfId="1" applyNumberFormat="1" applyFont="1" applyFill="1" applyBorder="1" applyAlignment="1">
      <alignment horizontal="center"/>
    </xf>
    <xf numFmtId="3" fontId="23" fillId="6" borderId="16" xfId="1" applyNumberFormat="1" applyFont="1" applyFill="1" applyBorder="1" applyAlignment="1">
      <alignment horizontal="center"/>
    </xf>
    <xf numFmtId="3" fontId="20" fillId="17" borderId="14" xfId="1" applyNumberFormat="1" applyFont="1" applyFill="1" applyBorder="1" applyAlignment="1">
      <alignment horizontal="center"/>
    </xf>
    <xf numFmtId="3" fontId="20" fillId="17" borderId="15" xfId="1" applyNumberFormat="1" applyFont="1" applyFill="1" applyBorder="1" applyAlignment="1">
      <alignment horizontal="center"/>
    </xf>
    <xf numFmtId="3" fontId="20" fillId="17" borderId="19" xfId="1" applyNumberFormat="1" applyFont="1" applyFill="1" applyBorder="1" applyAlignment="1">
      <alignment horizontal="center"/>
    </xf>
    <xf numFmtId="3" fontId="23" fillId="6" borderId="11" xfId="1" applyNumberFormat="1" applyFont="1" applyFill="1" applyBorder="1" applyAlignment="1">
      <alignment horizontal="center"/>
    </xf>
    <xf numFmtId="3" fontId="23" fillId="6" borderId="12" xfId="1" applyNumberFormat="1" applyFont="1" applyFill="1" applyBorder="1" applyAlignment="1">
      <alignment horizontal="center" vertical="center"/>
    </xf>
    <xf numFmtId="3" fontId="20" fillId="0" borderId="0" xfId="0" applyNumberFormat="1" applyFont="1" applyBorder="1" applyAlignment="1">
      <alignment horizontal="center"/>
    </xf>
    <xf numFmtId="165" fontId="23" fillId="18" borderId="10" xfId="3" applyNumberFormat="1" applyFont="1" applyFill="1" applyBorder="1" applyAlignment="1">
      <alignment horizontal="center" wrapText="1"/>
    </xf>
    <xf numFmtId="1" fontId="23" fillId="17" borderId="18" xfId="1" applyNumberFormat="1" applyFont="1" applyFill="1" applyBorder="1" applyAlignment="1">
      <alignment horizontal="center"/>
    </xf>
    <xf numFmtId="0" fontId="23" fillId="17" borderId="18" xfId="1" applyNumberFormat="1" applyFont="1" applyFill="1" applyBorder="1" applyAlignment="1">
      <alignment horizontal="center"/>
    </xf>
    <xf numFmtId="1" fontId="23" fillId="17" borderId="18" xfId="1" applyNumberFormat="1" applyFont="1" applyFill="1" applyBorder="1" applyAlignment="1">
      <alignment horizontal="center" wrapText="1"/>
    </xf>
    <xf numFmtId="3" fontId="23" fillId="17" borderId="19" xfId="1" applyNumberFormat="1" applyFont="1" applyFill="1" applyBorder="1" applyAlignment="1">
      <alignment horizontal="center"/>
    </xf>
    <xf numFmtId="1" fontId="23" fillId="17" borderId="12" xfId="1" applyNumberFormat="1" applyFont="1" applyFill="1" applyBorder="1" applyAlignment="1">
      <alignment horizontal="center"/>
    </xf>
    <xf numFmtId="1" fontId="23" fillId="17" borderId="17" xfId="1" applyNumberFormat="1" applyFont="1" applyFill="1" applyBorder="1" applyAlignment="1">
      <alignment horizontal="center"/>
    </xf>
    <xf numFmtId="3" fontId="23" fillId="26" borderId="0" xfId="1" applyNumberFormat="1" applyFont="1" applyFill="1" applyBorder="1" applyAlignment="1">
      <alignment horizontal="center"/>
    </xf>
    <xf numFmtId="3" fontId="23" fillId="26" borderId="17" xfId="1" applyNumberFormat="1" applyFont="1" applyFill="1" applyBorder="1" applyAlignment="1">
      <alignment horizontal="center"/>
    </xf>
    <xf numFmtId="3" fontId="20" fillId="17" borderId="5" xfId="1" applyNumberFormat="1" applyFont="1" applyFill="1" applyBorder="1" applyAlignment="1">
      <alignment horizontal="center"/>
    </xf>
    <xf numFmtId="3" fontId="20" fillId="17" borderId="6" xfId="1" applyNumberFormat="1" applyFont="1" applyFill="1" applyBorder="1" applyAlignment="1">
      <alignment horizontal="center"/>
    </xf>
    <xf numFmtId="3" fontId="20" fillId="17" borderId="17" xfId="1" applyNumberFormat="1" applyFont="1" applyFill="1" applyBorder="1" applyAlignment="1">
      <alignment horizontal="center"/>
    </xf>
    <xf numFmtId="3" fontId="22" fillId="17" borderId="5" xfId="1" applyNumberFormat="1" applyFont="1" applyFill="1" applyBorder="1" applyAlignment="1">
      <alignment horizontal="center"/>
    </xf>
    <xf numFmtId="3" fontId="22" fillId="17" borderId="6" xfId="1" applyNumberFormat="1" applyFont="1" applyFill="1" applyBorder="1" applyAlignment="1">
      <alignment horizontal="center"/>
    </xf>
    <xf numFmtId="3" fontId="22" fillId="17" borderId="17" xfId="1" applyNumberFormat="1" applyFont="1" applyFill="1" applyBorder="1" applyAlignment="1">
      <alignment horizontal="center"/>
    </xf>
    <xf numFmtId="3" fontId="22" fillId="17" borderId="7" xfId="1" applyNumberFormat="1" applyFont="1" applyFill="1" applyBorder="1" applyAlignment="1">
      <alignment horizontal="center"/>
    </xf>
    <xf numFmtId="3" fontId="22" fillId="17" borderId="0" xfId="1" applyNumberFormat="1" applyFont="1" applyFill="1" applyBorder="1" applyAlignment="1">
      <alignment horizontal="center"/>
    </xf>
    <xf numFmtId="3" fontId="22" fillId="17" borderId="18" xfId="1" applyNumberFormat="1" applyFont="1" applyFill="1" applyBorder="1" applyAlignment="1">
      <alignment horizontal="center"/>
    </xf>
    <xf numFmtId="3" fontId="20" fillId="0" borderId="7" xfId="1" applyNumberFormat="1" applyFont="1" applyFill="1" applyBorder="1" applyAlignment="1">
      <alignment horizontal="center"/>
    </xf>
    <xf numFmtId="3" fontId="32" fillId="26" borderId="5" xfId="1" applyNumberFormat="1" applyFont="1" applyFill="1" applyBorder="1" applyAlignment="1">
      <alignment horizontal="center"/>
    </xf>
    <xf numFmtId="3" fontId="32" fillId="26" borderId="6" xfId="1" applyNumberFormat="1" applyFont="1" applyFill="1" applyBorder="1" applyAlignment="1">
      <alignment horizontal="center"/>
    </xf>
    <xf numFmtId="3" fontId="32" fillId="26" borderId="17" xfId="1" applyNumberFormat="1" applyFont="1" applyFill="1" applyBorder="1" applyAlignment="1">
      <alignment horizontal="center"/>
    </xf>
    <xf numFmtId="3" fontId="32" fillId="28" borderId="7" xfId="4" applyNumberFormat="1" applyFont="1" applyFill="1" applyBorder="1" applyAlignment="1">
      <alignment horizontal="center"/>
    </xf>
    <xf numFmtId="3" fontId="32" fillId="28" borderId="0" xfId="4" applyNumberFormat="1" applyFont="1" applyFill="1" applyBorder="1" applyAlignment="1">
      <alignment horizontal="center"/>
    </xf>
    <xf numFmtId="3" fontId="32" fillId="28" borderId="18" xfId="4" applyNumberFormat="1" applyFont="1" applyFill="1" applyBorder="1" applyAlignment="1">
      <alignment horizontal="center"/>
    </xf>
    <xf numFmtId="3" fontId="22" fillId="17" borderId="7" xfId="4" applyNumberFormat="1" applyFont="1" applyFill="1" applyBorder="1" applyAlignment="1">
      <alignment horizontal="center"/>
    </xf>
    <xf numFmtId="3" fontId="22" fillId="17" borderId="0" xfId="4" applyNumberFormat="1" applyFont="1" applyFill="1" applyBorder="1" applyAlignment="1">
      <alignment horizontal="center"/>
    </xf>
    <xf numFmtId="3" fontId="22" fillId="17" borderId="18" xfId="4" applyNumberFormat="1" applyFont="1" applyFill="1" applyBorder="1" applyAlignment="1">
      <alignment horizontal="center"/>
    </xf>
    <xf numFmtId="3" fontId="32" fillId="28" borderId="5" xfId="1" applyNumberFormat="1" applyFont="1" applyFill="1" applyBorder="1" applyAlignment="1">
      <alignment horizontal="center"/>
    </xf>
    <xf numFmtId="3" fontId="32" fillId="28" borderId="6" xfId="1" applyNumberFormat="1" applyFont="1" applyFill="1" applyBorder="1" applyAlignment="1">
      <alignment horizontal="center"/>
    </xf>
    <xf numFmtId="3" fontId="32" fillId="28" borderId="17" xfId="1" applyNumberFormat="1" applyFont="1" applyFill="1" applyBorder="1" applyAlignment="1">
      <alignment horizontal="center"/>
    </xf>
    <xf numFmtId="3" fontId="32" fillId="17" borderId="5" xfId="1" applyNumberFormat="1" applyFont="1" applyFill="1" applyBorder="1" applyAlignment="1">
      <alignment horizontal="center"/>
    </xf>
    <xf numFmtId="3" fontId="32" fillId="17" borderId="6" xfId="1" applyNumberFormat="1" applyFont="1" applyFill="1" applyBorder="1" applyAlignment="1">
      <alignment horizontal="center"/>
    </xf>
    <xf numFmtId="3" fontId="32" fillId="17" borderId="17" xfId="1" applyNumberFormat="1" applyFont="1" applyFill="1" applyBorder="1" applyAlignment="1">
      <alignment horizontal="center"/>
    </xf>
    <xf numFmtId="3" fontId="32" fillId="17" borderId="7" xfId="1" applyNumberFormat="1" applyFont="1" applyFill="1" applyBorder="1" applyAlignment="1">
      <alignment horizontal="center"/>
    </xf>
    <xf numFmtId="3" fontId="32" fillId="17" borderId="0" xfId="1" applyNumberFormat="1" applyFont="1" applyFill="1" applyBorder="1" applyAlignment="1">
      <alignment horizontal="center"/>
    </xf>
    <xf numFmtId="3" fontId="32" fillId="17" borderId="18" xfId="1" applyNumberFormat="1" applyFont="1" applyFill="1" applyBorder="1" applyAlignment="1">
      <alignment horizontal="center"/>
    </xf>
    <xf numFmtId="3" fontId="25" fillId="26" borderId="5" xfId="1" applyNumberFormat="1" applyFont="1" applyFill="1" applyBorder="1" applyAlignment="1">
      <alignment horizontal="center"/>
    </xf>
    <xf numFmtId="3" fontId="25" fillId="26" borderId="6" xfId="1" applyNumberFormat="1" applyFont="1" applyFill="1" applyBorder="1" applyAlignment="1">
      <alignment horizontal="center"/>
    </xf>
    <xf numFmtId="3" fontId="25" fillId="26" borderId="17" xfId="1" applyNumberFormat="1" applyFont="1" applyFill="1" applyBorder="1" applyAlignment="1">
      <alignment horizontal="center"/>
    </xf>
    <xf numFmtId="3" fontId="25" fillId="17" borderId="14" xfId="1" applyNumberFormat="1" applyFont="1" applyFill="1" applyBorder="1" applyAlignment="1">
      <alignment horizontal="center"/>
    </xf>
    <xf numFmtId="3" fontId="25" fillId="17" borderId="15" xfId="1" applyNumberFormat="1" applyFont="1" applyFill="1" applyBorder="1" applyAlignment="1">
      <alignment horizontal="center"/>
    </xf>
    <xf numFmtId="3" fontId="25" fillId="17" borderId="19" xfId="1" applyNumberFormat="1" applyFont="1" applyFill="1" applyBorder="1" applyAlignment="1">
      <alignment horizontal="center"/>
    </xf>
    <xf numFmtId="3" fontId="32" fillId="26" borderId="5" xfId="1" applyNumberFormat="1" applyFont="1" applyFill="1" applyBorder="1" applyAlignment="1">
      <alignment horizontal="center" vertical="center"/>
    </xf>
    <xf numFmtId="3" fontId="32" fillId="26" borderId="6" xfId="1" applyNumberFormat="1" applyFont="1" applyFill="1" applyBorder="1" applyAlignment="1">
      <alignment horizontal="center" vertical="center"/>
    </xf>
    <xf numFmtId="3" fontId="32" fillId="26" borderId="17" xfId="1" applyNumberFormat="1" applyFont="1" applyFill="1" applyBorder="1" applyAlignment="1">
      <alignment horizontal="center" vertical="center"/>
    </xf>
    <xf numFmtId="3" fontId="20" fillId="17" borderId="14" xfId="4" applyNumberFormat="1" applyFont="1" applyFill="1" applyBorder="1" applyAlignment="1">
      <alignment horizontal="center"/>
    </xf>
    <xf numFmtId="3" fontId="20" fillId="17" borderId="15" xfId="4" applyNumberFormat="1" applyFont="1" applyFill="1" applyBorder="1" applyAlignment="1">
      <alignment horizontal="center"/>
    </xf>
    <xf numFmtId="3" fontId="20" fillId="17" borderId="19" xfId="4" applyNumberFormat="1" applyFont="1" applyFill="1" applyBorder="1" applyAlignment="1">
      <alignment horizontal="center"/>
    </xf>
    <xf numFmtId="3" fontId="21" fillId="26" borderId="8" xfId="1" applyNumberFormat="1" applyFont="1" applyFill="1" applyBorder="1" applyAlignment="1">
      <alignment horizontal="center"/>
    </xf>
    <xf numFmtId="3" fontId="21" fillId="26" borderId="9" xfId="1" applyNumberFormat="1" applyFont="1" applyFill="1" applyBorder="1" applyAlignment="1">
      <alignment horizontal="center"/>
    </xf>
    <xf numFmtId="3" fontId="21" fillId="26" borderId="10" xfId="1" applyNumberFormat="1" applyFont="1" applyFill="1" applyBorder="1" applyAlignment="1">
      <alignment horizontal="center"/>
    </xf>
    <xf numFmtId="3" fontId="32" fillId="26" borderId="8" xfId="1" applyNumberFormat="1" applyFont="1" applyFill="1" applyBorder="1" applyAlignment="1">
      <alignment horizontal="center"/>
    </xf>
    <xf numFmtId="3" fontId="32" fillId="26" borderId="9" xfId="1" applyNumberFormat="1" applyFont="1" applyFill="1" applyBorder="1" applyAlignment="1">
      <alignment horizontal="center"/>
    </xf>
    <xf numFmtId="3" fontId="32" fillId="26" borderId="10" xfId="1" applyNumberFormat="1" applyFont="1" applyFill="1" applyBorder="1" applyAlignment="1">
      <alignment horizontal="center"/>
    </xf>
    <xf numFmtId="3" fontId="25" fillId="10" borderId="0" xfId="0" applyNumberFormat="1" applyFont="1" applyFill="1" applyBorder="1" applyAlignment="1">
      <alignment horizontal="center"/>
    </xf>
    <xf numFmtId="3" fontId="25" fillId="0" borderId="0" xfId="0" applyNumberFormat="1" applyFont="1" applyAlignment="1">
      <alignment horizontal="center"/>
    </xf>
    <xf numFmtId="3" fontId="25" fillId="0" borderId="0" xfId="0" applyNumberFormat="1" applyFont="1" applyBorder="1" applyAlignment="1">
      <alignment horizontal="center"/>
    </xf>
    <xf numFmtId="3" fontId="23" fillId="6" borderId="12" xfId="0" applyNumberFormat="1" applyFont="1" applyFill="1" applyBorder="1" applyAlignment="1">
      <alignment horizontal="center"/>
    </xf>
    <xf numFmtId="3" fontId="23" fillId="6" borderId="13" xfId="0" applyNumberFormat="1" applyFont="1" applyFill="1" applyBorder="1" applyAlignment="1">
      <alignment horizontal="center"/>
    </xf>
    <xf numFmtId="3" fontId="23" fillId="6" borderId="16" xfId="0" applyNumberFormat="1" applyFont="1" applyFill="1" applyBorder="1" applyAlignment="1">
      <alignment horizontal="center"/>
    </xf>
    <xf numFmtId="3" fontId="20" fillId="0" borderId="0" xfId="0" applyNumberFormat="1" applyFont="1" applyAlignment="1">
      <alignment horizontal="center"/>
    </xf>
    <xf numFmtId="0" fontId="20" fillId="0" borderId="0" xfId="1" applyFont="1" applyAlignment="1">
      <alignment horizontal="center"/>
    </xf>
    <xf numFmtId="3" fontId="20" fillId="9" borderId="0" xfId="1" applyNumberFormat="1" applyFont="1" applyFill="1" applyBorder="1" applyAlignment="1">
      <alignment horizontal="right"/>
    </xf>
    <xf numFmtId="3" fontId="20" fillId="9" borderId="7" xfId="1" applyNumberFormat="1" applyFont="1" applyFill="1" applyBorder="1" applyAlignment="1">
      <alignment horizontal="right"/>
    </xf>
    <xf numFmtId="3" fontId="20" fillId="9" borderId="14" xfId="1" applyNumberFormat="1" applyFont="1" applyFill="1" applyBorder="1" applyAlignment="1">
      <alignment horizontal="right"/>
    </xf>
    <xf numFmtId="3" fontId="20" fillId="9" borderId="5" xfId="1" applyNumberFormat="1" applyFont="1" applyFill="1" applyBorder="1" applyAlignment="1">
      <alignment horizontal="right"/>
    </xf>
    <xf numFmtId="165" fontId="20" fillId="7" borderId="17" xfId="3" applyNumberFormat="1" applyFont="1" applyFill="1" applyBorder="1" applyAlignment="1">
      <alignment horizontal="center" wrapText="1"/>
    </xf>
    <xf numFmtId="165" fontId="20" fillId="7" borderId="18" xfId="3" applyNumberFormat="1" applyFont="1" applyFill="1" applyBorder="1" applyAlignment="1">
      <alignment horizontal="center" wrapText="1"/>
    </xf>
    <xf numFmtId="165" fontId="20" fillId="7" borderId="19" xfId="3" applyNumberFormat="1" applyFont="1" applyFill="1" applyBorder="1" applyAlignment="1">
      <alignment horizontal="center" wrapText="1"/>
    </xf>
    <xf numFmtId="0" fontId="19" fillId="23" borderId="2" xfId="1" applyFont="1" applyFill="1" applyBorder="1" applyAlignment="1"/>
    <xf numFmtId="0" fontId="21" fillId="11" borderId="9" xfId="1" applyFont="1" applyFill="1" applyBorder="1" applyAlignment="1"/>
    <xf numFmtId="3" fontId="20" fillId="17" borderId="11" xfId="1" applyNumberFormat="1" applyFont="1" applyFill="1" applyBorder="1" applyAlignment="1">
      <alignment horizontal="right" vertical="center" wrapText="1"/>
    </xf>
    <xf numFmtId="0" fontId="23" fillId="11" borderId="11" xfId="1" applyFont="1" applyFill="1" applyBorder="1" applyAlignment="1">
      <alignment horizontal="center" wrapText="1"/>
    </xf>
    <xf numFmtId="9" fontId="23" fillId="27" borderId="16" xfId="3" applyFont="1" applyFill="1" applyBorder="1" applyAlignment="1">
      <alignment horizontal="center" vertical="center"/>
    </xf>
    <xf numFmtId="0" fontId="23" fillId="11" borderId="10" xfId="1" applyFont="1" applyFill="1" applyBorder="1" applyAlignment="1">
      <alignment wrapText="1"/>
    </xf>
    <xf numFmtId="165" fontId="23" fillId="8" borderId="11" xfId="3" applyNumberFormat="1" applyFont="1" applyFill="1" applyBorder="1" applyAlignment="1">
      <alignment horizontal="right" vertical="center" wrapText="1"/>
    </xf>
    <xf numFmtId="0" fontId="36" fillId="12" borderId="8" xfId="1" applyFont="1" applyFill="1" applyBorder="1" applyAlignment="1">
      <alignment horizontal="right"/>
    </xf>
    <xf numFmtId="0" fontId="37" fillId="12" borderId="10" xfId="1" applyFont="1" applyFill="1" applyBorder="1" applyAlignment="1">
      <alignment horizontal="right"/>
    </xf>
    <xf numFmtId="0" fontId="20" fillId="0" borderId="0" xfId="1" applyFont="1" applyBorder="1"/>
    <xf numFmtId="0" fontId="22" fillId="0" borderId="0" xfId="1" applyFont="1" applyFill="1" applyBorder="1"/>
    <xf numFmtId="0" fontId="23" fillId="13" borderId="11" xfId="1" applyFont="1" applyFill="1" applyBorder="1" applyAlignment="1">
      <alignment horizontal="right" vertical="center"/>
    </xf>
    <xf numFmtId="9" fontId="23" fillId="7" borderId="11" xfId="9" applyFont="1" applyFill="1" applyBorder="1" applyAlignment="1">
      <alignment horizontal="center" vertical="center" wrapText="1"/>
    </xf>
    <xf numFmtId="9" fontId="23" fillId="0" borderId="0" xfId="9" applyFont="1" applyFill="1" applyBorder="1" applyAlignment="1">
      <alignment horizontal="center" wrapText="1"/>
    </xf>
    <xf numFmtId="0" fontId="20" fillId="0" borderId="0" xfId="1" applyFont="1" applyFill="1" applyBorder="1" applyAlignment="1">
      <alignment horizontal="left"/>
    </xf>
    <xf numFmtId="0" fontId="20" fillId="0" borderId="0" xfId="1" applyFont="1" applyFill="1" applyBorder="1"/>
    <xf numFmtId="0" fontId="23" fillId="0" borderId="0" xfId="1" applyFont="1" applyBorder="1" applyAlignment="1">
      <alignment horizontal="right"/>
    </xf>
    <xf numFmtId="0" fontId="23" fillId="0" borderId="0" xfId="1" applyFont="1" applyFill="1" applyBorder="1"/>
    <xf numFmtId="0" fontId="38" fillId="31" borderId="8" xfId="1" applyFont="1" applyFill="1" applyBorder="1" applyAlignment="1">
      <alignment horizontal="right"/>
    </xf>
    <xf numFmtId="0" fontId="38" fillId="31" borderId="9" xfId="1" applyFont="1" applyFill="1" applyBorder="1" applyAlignment="1">
      <alignment horizontal="right"/>
    </xf>
    <xf numFmtId="0" fontId="38" fillId="31" borderId="9" xfId="1" applyFont="1" applyFill="1" applyBorder="1" applyAlignment="1"/>
    <xf numFmtId="0" fontId="39" fillId="13" borderId="11" xfId="1" applyFont="1" applyFill="1" applyBorder="1" applyAlignment="1">
      <alignment horizontal="right" wrapText="1"/>
    </xf>
    <xf numFmtId="0" fontId="39" fillId="0" borderId="8" xfId="1" applyFont="1" applyFill="1" applyBorder="1" applyAlignment="1">
      <alignment horizontal="center" wrapText="1"/>
    </xf>
    <xf numFmtId="0" fontId="39" fillId="0" borderId="0" xfId="1" applyFont="1" applyFill="1" applyBorder="1" applyAlignment="1">
      <alignment horizontal="right" wrapText="1"/>
    </xf>
    <xf numFmtId="0" fontId="39" fillId="0" borderId="0" xfId="1" applyFont="1" applyFill="1" applyBorder="1" applyAlignment="1">
      <alignment horizontal="center" wrapText="1"/>
    </xf>
    <xf numFmtId="0" fontId="23" fillId="11" borderId="11" xfId="1" applyFont="1" applyFill="1" applyBorder="1" applyAlignment="1">
      <alignment horizontal="right" wrapText="1"/>
    </xf>
    <xf numFmtId="0" fontId="23" fillId="11" borderId="11" xfId="1" applyFont="1" applyFill="1" applyBorder="1" applyAlignment="1">
      <alignment horizontal="left" wrapText="1"/>
    </xf>
    <xf numFmtId="165" fontId="23" fillId="0" borderId="0" xfId="3" applyNumberFormat="1" applyFont="1" applyFill="1" applyBorder="1" applyAlignment="1">
      <alignment horizontal="left"/>
    </xf>
    <xf numFmtId="0" fontId="23" fillId="17" borderId="5" xfId="1" applyFont="1" applyFill="1" applyBorder="1" applyAlignment="1">
      <alignment horizontal="right"/>
    </xf>
    <xf numFmtId="3" fontId="20" fillId="0" borderId="17" xfId="1" applyNumberFormat="1" applyFont="1" applyFill="1" applyBorder="1"/>
    <xf numFmtId="3" fontId="20" fillId="17" borderId="12" xfId="2" applyNumberFormat="1" applyFont="1" applyFill="1" applyBorder="1" applyAlignment="1">
      <alignment horizontal="center"/>
    </xf>
    <xf numFmtId="0" fontId="23" fillId="17" borderId="7" xfId="1" applyFont="1" applyFill="1" applyBorder="1" applyAlignment="1">
      <alignment horizontal="right"/>
    </xf>
    <xf numFmtId="3" fontId="20" fillId="0" borderId="18" xfId="1" applyNumberFormat="1" applyFont="1" applyFill="1" applyBorder="1"/>
    <xf numFmtId="3" fontId="20" fillId="17" borderId="13" xfId="2" applyNumberFormat="1" applyFont="1" applyFill="1" applyBorder="1" applyAlignment="1">
      <alignment horizontal="center"/>
    </xf>
    <xf numFmtId="3" fontId="25" fillId="14" borderId="13" xfId="2" applyNumberFormat="1" applyFont="1" applyFill="1" applyBorder="1" applyAlignment="1">
      <alignment horizontal="center"/>
    </xf>
    <xf numFmtId="0" fontId="23" fillId="17" borderId="14" xfId="1" applyFont="1" applyFill="1" applyBorder="1" applyAlignment="1">
      <alignment horizontal="right"/>
    </xf>
    <xf numFmtId="3" fontId="20" fillId="0" borderId="19" xfId="1" applyNumberFormat="1" applyFont="1" applyFill="1" applyBorder="1"/>
    <xf numFmtId="3" fontId="20" fillId="17" borderId="16" xfId="2" applyNumberFormat="1" applyFont="1" applyFill="1" applyBorder="1" applyAlignment="1">
      <alignment horizontal="center"/>
    </xf>
    <xf numFmtId="0" fontId="23" fillId="0" borderId="7" xfId="1" applyFont="1" applyFill="1" applyBorder="1" applyAlignment="1">
      <alignment horizontal="right"/>
    </xf>
    <xf numFmtId="0" fontId="23" fillId="0" borderId="7" xfId="1" applyFont="1" applyFill="1" applyBorder="1"/>
    <xf numFmtId="3" fontId="20" fillId="0" borderId="14" xfId="2" applyNumberFormat="1" applyFont="1" applyFill="1" applyBorder="1" applyAlignment="1">
      <alignment horizontal="center"/>
    </xf>
    <xf numFmtId="3" fontId="20" fillId="0" borderId="15" xfId="2" applyNumberFormat="1" applyFont="1" applyFill="1" applyBorder="1" applyAlignment="1">
      <alignment horizontal="center"/>
    </xf>
    <xf numFmtId="0" fontId="23" fillId="0" borderId="0" xfId="1" applyFont="1" applyFill="1" applyBorder="1" applyAlignment="1">
      <alignment horizontal="left"/>
    </xf>
    <xf numFmtId="0" fontId="23" fillId="13" borderId="5" xfId="1" applyFont="1" applyFill="1" applyBorder="1" applyAlignment="1">
      <alignment horizontal="right"/>
    </xf>
    <xf numFmtId="3" fontId="20" fillId="17" borderId="8" xfId="2" applyNumberFormat="1" applyFont="1" applyFill="1" applyBorder="1" applyAlignment="1">
      <alignment horizontal="center"/>
    </xf>
    <xf numFmtId="3" fontId="20" fillId="17" borderId="9" xfId="2" applyNumberFormat="1" applyFont="1" applyFill="1" applyBorder="1" applyAlignment="1">
      <alignment horizontal="center"/>
    </xf>
    <xf numFmtId="3" fontId="20" fillId="17" borderId="10" xfId="2" applyNumberFormat="1" applyFont="1" applyFill="1" applyBorder="1" applyAlignment="1">
      <alignment horizontal="center"/>
    </xf>
    <xf numFmtId="0" fontId="20" fillId="17" borderId="12" xfId="1" applyFont="1" applyFill="1" applyBorder="1" applyAlignment="1">
      <alignment horizontal="right"/>
    </xf>
    <xf numFmtId="3" fontId="20" fillId="0" borderId="12" xfId="1" applyNumberFormat="1" applyFont="1" applyFill="1" applyBorder="1"/>
    <xf numFmtId="3" fontId="20" fillId="17" borderId="5" xfId="2" applyNumberFormat="1" applyFont="1" applyFill="1" applyBorder="1" applyAlignment="1">
      <alignment horizontal="center"/>
    </xf>
    <xf numFmtId="3" fontId="20" fillId="17" borderId="6" xfId="2" applyNumberFormat="1" applyFont="1" applyFill="1" applyBorder="1" applyAlignment="1">
      <alignment horizontal="center"/>
    </xf>
    <xf numFmtId="3" fontId="20" fillId="17" borderId="17" xfId="2" applyNumberFormat="1" applyFont="1" applyFill="1" applyBorder="1" applyAlignment="1">
      <alignment horizontal="center"/>
    </xf>
    <xf numFmtId="0" fontId="20" fillId="17" borderId="13" xfId="1" applyFont="1" applyFill="1" applyBorder="1" applyAlignment="1">
      <alignment horizontal="right"/>
    </xf>
    <xf numFmtId="3" fontId="20" fillId="0" borderId="13" xfId="1" applyNumberFormat="1" applyFont="1" applyFill="1" applyBorder="1"/>
    <xf numFmtId="3" fontId="20" fillId="17" borderId="7" xfId="2" applyNumberFormat="1" applyFont="1" applyFill="1" applyBorder="1" applyAlignment="1">
      <alignment horizontal="center"/>
    </xf>
    <xf numFmtId="3" fontId="20" fillId="17" borderId="0" xfId="2" applyNumberFormat="1" applyFont="1" applyFill="1" applyBorder="1" applyAlignment="1">
      <alignment horizontal="center"/>
    </xf>
    <xf numFmtId="3" fontId="20" fillId="17" borderId="18" xfId="2" applyNumberFormat="1" applyFont="1" applyFill="1" applyBorder="1" applyAlignment="1">
      <alignment horizontal="center"/>
    </xf>
    <xf numFmtId="0" fontId="20" fillId="17" borderId="16" xfId="1" applyFont="1" applyFill="1" applyBorder="1" applyAlignment="1">
      <alignment horizontal="right"/>
    </xf>
    <xf numFmtId="3" fontId="20" fillId="0" borderId="16" xfId="1" applyNumberFormat="1" applyFont="1" applyFill="1" applyBorder="1"/>
    <xf numFmtId="3" fontId="20" fillId="17" borderId="14" xfId="2" applyNumberFormat="1" applyFont="1" applyFill="1" applyBorder="1" applyAlignment="1">
      <alignment horizontal="center"/>
    </xf>
    <xf numFmtId="3" fontId="20" fillId="17" borderId="15" xfId="2" applyNumberFormat="1" applyFont="1" applyFill="1" applyBorder="1" applyAlignment="1">
      <alignment horizontal="center"/>
    </xf>
    <xf numFmtId="3" fontId="20" fillId="17" borderId="19" xfId="2" applyNumberFormat="1" applyFont="1" applyFill="1" applyBorder="1" applyAlignment="1">
      <alignment horizontal="center"/>
    </xf>
    <xf numFmtId="0" fontId="23" fillId="13" borderId="8" xfId="1" applyFont="1" applyFill="1" applyBorder="1" applyAlignment="1">
      <alignment horizontal="right"/>
    </xf>
    <xf numFmtId="3" fontId="20" fillId="0" borderId="10" xfId="1" applyNumberFormat="1" applyFont="1" applyFill="1" applyBorder="1"/>
    <xf numFmtId="3" fontId="25" fillId="17" borderId="8" xfId="2" applyNumberFormat="1" applyFont="1" applyFill="1" applyBorder="1" applyAlignment="1">
      <alignment horizontal="center"/>
    </xf>
    <xf numFmtId="3" fontId="25" fillId="17" borderId="9" xfId="2" applyNumberFormat="1" applyFont="1" applyFill="1" applyBorder="1" applyAlignment="1">
      <alignment horizontal="center"/>
    </xf>
    <xf numFmtId="3" fontId="25" fillId="17" borderId="10" xfId="2" applyNumberFormat="1" applyFont="1" applyFill="1" applyBorder="1" applyAlignment="1">
      <alignment horizontal="center"/>
    </xf>
    <xf numFmtId="0" fontId="23" fillId="13" borderId="14" xfId="1" applyFont="1" applyFill="1" applyBorder="1" applyAlignment="1">
      <alignment horizontal="right"/>
    </xf>
    <xf numFmtId="0" fontId="23" fillId="0" borderId="14" xfId="1" applyFont="1" applyFill="1" applyBorder="1" applyAlignment="1">
      <alignment horizontal="left" indent="1"/>
    </xf>
    <xf numFmtId="3" fontId="20" fillId="17" borderId="8" xfId="1" applyNumberFormat="1" applyFont="1" applyFill="1" applyBorder="1" applyAlignment="1">
      <alignment horizontal="center"/>
    </xf>
    <xf numFmtId="3" fontId="20" fillId="17" borderId="9" xfId="1" applyNumberFormat="1" applyFont="1" applyFill="1" applyBorder="1" applyAlignment="1">
      <alignment horizontal="center"/>
    </xf>
    <xf numFmtId="3" fontId="20" fillId="17" borderId="10" xfId="1" applyNumberFormat="1" applyFont="1" applyFill="1" applyBorder="1" applyAlignment="1">
      <alignment horizontal="center"/>
    </xf>
    <xf numFmtId="0" fontId="23" fillId="0" borderId="5" xfId="1" applyFont="1" applyFill="1" applyBorder="1" applyAlignment="1">
      <alignment horizontal="right"/>
    </xf>
    <xf numFmtId="167" fontId="20" fillId="0" borderId="14" xfId="2" applyNumberFormat="1" applyFont="1" applyFill="1" applyBorder="1" applyAlignment="1">
      <alignment horizontal="center"/>
    </xf>
    <xf numFmtId="167" fontId="20" fillId="0" borderId="15" xfId="2" applyNumberFormat="1" applyFont="1" applyFill="1" applyBorder="1" applyAlignment="1">
      <alignment horizontal="center"/>
    </xf>
    <xf numFmtId="0" fontId="20" fillId="17" borderId="5" xfId="1" applyFont="1" applyFill="1" applyBorder="1" applyAlignment="1">
      <alignment horizontal="right"/>
    </xf>
    <xf numFmtId="3" fontId="20" fillId="0" borderId="6" xfId="1" applyNumberFormat="1" applyFont="1" applyFill="1" applyBorder="1"/>
    <xf numFmtId="0" fontId="20" fillId="17" borderId="7" xfId="1" applyFont="1" applyFill="1" applyBorder="1" applyAlignment="1">
      <alignment horizontal="right"/>
    </xf>
    <xf numFmtId="3" fontId="20" fillId="0" borderId="0" xfId="1" applyNumberFormat="1" applyFont="1" applyFill="1" applyBorder="1"/>
    <xf numFmtId="0" fontId="23" fillId="13" borderId="16" xfId="1" applyFont="1" applyFill="1" applyBorder="1" applyAlignment="1">
      <alignment horizontal="right"/>
    </xf>
    <xf numFmtId="3" fontId="20" fillId="0" borderId="11" xfId="1" applyNumberFormat="1" applyFont="1" applyFill="1" applyBorder="1"/>
    <xf numFmtId="0" fontId="23" fillId="4" borderId="14" xfId="1" applyFont="1" applyFill="1" applyBorder="1" applyAlignment="1">
      <alignment horizontal="right" indent="1"/>
    </xf>
    <xf numFmtId="3" fontId="20" fillId="14" borderId="8" xfId="1" applyNumberFormat="1" applyFont="1" applyFill="1" applyBorder="1" applyAlignment="1">
      <alignment horizontal="center"/>
    </xf>
    <xf numFmtId="3" fontId="20" fillId="14" borderId="9" xfId="1" applyNumberFormat="1" applyFont="1" applyFill="1" applyBorder="1" applyAlignment="1">
      <alignment horizontal="center"/>
    </xf>
    <xf numFmtId="3" fontId="20" fillId="14" borderId="10" xfId="1" applyNumberFormat="1" applyFont="1" applyFill="1" applyBorder="1" applyAlignment="1">
      <alignment horizontal="center"/>
    </xf>
    <xf numFmtId="3" fontId="20" fillId="0" borderId="5" xfId="1" applyNumberFormat="1" applyFont="1" applyFill="1" applyBorder="1"/>
    <xf numFmtId="3" fontId="20" fillId="0" borderId="7" xfId="1" applyNumberFormat="1" applyFont="1" applyFill="1" applyBorder="1"/>
    <xf numFmtId="3" fontId="20" fillId="0" borderId="14" xfId="1" applyNumberFormat="1" applyFont="1" applyFill="1" applyBorder="1"/>
    <xf numFmtId="0" fontId="23" fillId="4" borderId="8" xfId="1" applyFont="1" applyFill="1" applyBorder="1" applyAlignment="1">
      <alignment horizontal="right" indent="1"/>
    </xf>
    <xf numFmtId="0" fontId="23" fillId="0" borderId="8" xfId="1" applyFont="1" applyFill="1" applyBorder="1" applyAlignment="1">
      <alignment horizontal="left" indent="1"/>
    </xf>
    <xf numFmtId="3" fontId="20" fillId="14" borderId="8" xfId="2" applyNumberFormat="1" applyFont="1" applyFill="1" applyBorder="1" applyAlignment="1">
      <alignment horizontal="center"/>
    </xf>
    <xf numFmtId="3" fontId="20" fillId="14" borderId="9" xfId="2" applyNumberFormat="1" applyFont="1" applyFill="1" applyBorder="1" applyAlignment="1">
      <alignment horizontal="center"/>
    </xf>
    <xf numFmtId="3" fontId="20" fillId="14" borderId="10" xfId="2" applyNumberFormat="1" applyFont="1" applyFill="1" applyBorder="1" applyAlignment="1">
      <alignment horizontal="center"/>
    </xf>
    <xf numFmtId="167" fontId="20" fillId="0" borderId="7" xfId="2" applyNumberFormat="1" applyFont="1" applyFill="1" applyBorder="1" applyAlignment="1">
      <alignment horizontal="center"/>
    </xf>
    <xf numFmtId="167" fontId="20" fillId="0" borderId="0" xfId="2" applyNumberFormat="1" applyFont="1" applyFill="1" applyBorder="1" applyAlignment="1">
      <alignment horizontal="center"/>
    </xf>
    <xf numFmtId="0" fontId="21" fillId="31" borderId="9" xfId="1" applyFont="1" applyFill="1" applyBorder="1" applyAlignment="1">
      <alignment horizontal="right"/>
    </xf>
    <xf numFmtId="0" fontId="21" fillId="31" borderId="9" xfId="1" applyFont="1" applyFill="1" applyBorder="1" applyAlignment="1"/>
    <xf numFmtId="165" fontId="23" fillId="11" borderId="11" xfId="3" applyNumberFormat="1" applyFont="1" applyFill="1" applyBorder="1" applyAlignment="1">
      <alignment horizontal="right"/>
    </xf>
    <xf numFmtId="167" fontId="20" fillId="0" borderId="17" xfId="1" applyNumberFormat="1" applyFont="1" applyFill="1" applyBorder="1"/>
    <xf numFmtId="0" fontId="23" fillId="13" borderId="7" xfId="1" applyFont="1" applyFill="1" applyBorder="1" applyAlignment="1">
      <alignment horizontal="right"/>
    </xf>
    <xf numFmtId="167" fontId="20" fillId="0" borderId="18" xfId="1" applyNumberFormat="1" applyFont="1" applyFill="1" applyBorder="1"/>
    <xf numFmtId="167" fontId="20" fillId="0" borderId="19" xfId="1" applyNumberFormat="1" applyFont="1" applyFill="1" applyBorder="1"/>
    <xf numFmtId="0" fontId="23" fillId="11" borderId="8" xfId="1" applyFont="1" applyFill="1" applyBorder="1" applyAlignment="1">
      <alignment horizontal="right"/>
    </xf>
    <xf numFmtId="167" fontId="20" fillId="0" borderId="12" xfId="1" applyNumberFormat="1" applyFont="1" applyFill="1" applyBorder="1"/>
    <xf numFmtId="167" fontId="20" fillId="0" borderId="13" xfId="1" applyNumberFormat="1" applyFont="1" applyFill="1" applyBorder="1"/>
    <xf numFmtId="167" fontId="20" fillId="0" borderId="16" xfId="1" applyNumberFormat="1" applyFont="1" applyFill="1" applyBorder="1"/>
    <xf numFmtId="167" fontId="20" fillId="0" borderId="10" xfId="1" applyNumberFormat="1" applyFont="1" applyFill="1" applyBorder="1"/>
    <xf numFmtId="0" fontId="23" fillId="0" borderId="0" xfId="1" applyFont="1" applyFill="1" applyBorder="1" applyAlignment="1">
      <alignment horizontal="left" indent="1"/>
    </xf>
    <xf numFmtId="0" fontId="23" fillId="0" borderId="0" xfId="1" applyFont="1" applyFill="1" applyBorder="1" applyAlignment="1">
      <alignment horizontal="right" indent="1"/>
    </xf>
    <xf numFmtId="0" fontId="23" fillId="0" borderId="0" xfId="1" applyFont="1" applyFill="1" applyBorder="1" applyAlignment="1">
      <alignment horizontal="right"/>
    </xf>
    <xf numFmtId="0" fontId="39" fillId="11" borderId="11" xfId="1" applyFont="1" applyFill="1" applyBorder="1" applyAlignment="1">
      <alignment horizontal="right" wrapText="1"/>
    </xf>
    <xf numFmtId="167" fontId="20" fillId="0" borderId="0" xfId="1" applyNumberFormat="1" applyFont="1" applyFill="1" applyBorder="1"/>
    <xf numFmtId="0" fontId="23" fillId="0" borderId="0" xfId="1" applyFont="1" applyBorder="1"/>
    <xf numFmtId="3" fontId="20" fillId="13" borderId="5" xfId="1" applyNumberFormat="1" applyFont="1" applyFill="1" applyBorder="1" applyAlignment="1">
      <alignment horizontal="right" wrapText="1"/>
    </xf>
    <xf numFmtId="0" fontId="20" fillId="13" borderId="7" xfId="1" applyFont="1" applyFill="1" applyBorder="1" applyAlignment="1">
      <alignment horizontal="right" wrapText="1"/>
    </xf>
    <xf numFmtId="0" fontId="23" fillId="11" borderId="14" xfId="1" applyFont="1" applyFill="1" applyBorder="1" applyAlignment="1">
      <alignment horizontal="right" wrapText="1"/>
    </xf>
    <xf numFmtId="3" fontId="23" fillId="0" borderId="18" xfId="1" applyNumberFormat="1" applyFont="1" applyFill="1" applyBorder="1"/>
    <xf numFmtId="165" fontId="23" fillId="0" borderId="19" xfId="3" applyNumberFormat="1" applyFont="1" applyFill="1" applyBorder="1"/>
    <xf numFmtId="0" fontId="23" fillId="11" borderId="12" xfId="1" applyFont="1" applyFill="1" applyBorder="1" applyAlignment="1">
      <alignment horizontal="center" wrapText="1"/>
    </xf>
    <xf numFmtId="165" fontId="23" fillId="18" borderId="12" xfId="3" applyNumberFormat="1" applyFont="1" applyFill="1" applyBorder="1" applyAlignment="1">
      <alignment horizontal="center" wrapText="1"/>
    </xf>
    <xf numFmtId="0" fontId="20" fillId="13" borderId="12" xfId="1" applyFont="1" applyFill="1" applyBorder="1" applyAlignment="1">
      <alignment horizontal="right" wrapText="1"/>
    </xf>
    <xf numFmtId="167" fontId="20" fillId="0" borderId="6" xfId="1" applyNumberFormat="1" applyFont="1" applyFill="1" applyBorder="1"/>
    <xf numFmtId="0" fontId="20" fillId="13" borderId="13" xfId="1" applyFont="1" applyFill="1" applyBorder="1" applyAlignment="1">
      <alignment horizontal="right" wrapText="1"/>
    </xf>
    <xf numFmtId="0" fontId="20" fillId="13" borderId="16" xfId="1" applyFont="1" applyFill="1" applyBorder="1" applyAlignment="1">
      <alignment horizontal="right" wrapText="1"/>
    </xf>
    <xf numFmtId="167" fontId="23" fillId="0" borderId="14" xfId="1" applyNumberFormat="1" applyFont="1" applyFill="1" applyBorder="1"/>
    <xf numFmtId="0" fontId="23" fillId="11" borderId="11" xfId="1" applyFont="1" applyFill="1" applyBorder="1" applyAlignment="1">
      <alignment horizontal="right" vertical="center" wrapText="1"/>
    </xf>
    <xf numFmtId="0" fontId="20" fillId="13" borderId="5" xfId="1" applyFont="1" applyFill="1" applyBorder="1" applyAlignment="1">
      <alignment horizontal="right" vertical="center"/>
    </xf>
    <xf numFmtId="0" fontId="20" fillId="13" borderId="7" xfId="1" applyFont="1" applyFill="1" applyBorder="1" applyAlignment="1">
      <alignment horizontal="right" vertical="center"/>
    </xf>
    <xf numFmtId="167" fontId="23" fillId="0" borderId="15" xfId="1" applyNumberFormat="1" applyFont="1" applyFill="1" applyBorder="1"/>
    <xf numFmtId="0" fontId="23" fillId="0" borderId="0" xfId="1" applyFont="1" applyFill="1" applyBorder="1" applyAlignment="1">
      <alignment horizontal="right" wrapText="1"/>
    </xf>
    <xf numFmtId="167" fontId="23" fillId="0" borderId="0" xfId="1" applyNumberFormat="1" applyFont="1" applyFill="1" applyBorder="1"/>
    <xf numFmtId="167" fontId="23" fillId="0" borderId="0" xfId="2" applyNumberFormat="1" applyFont="1" applyFill="1" applyBorder="1" applyAlignment="1">
      <alignment horizontal="center"/>
    </xf>
    <xf numFmtId="2" fontId="20" fillId="0" borderId="12" xfId="1" applyNumberFormat="1" applyFont="1" applyFill="1" applyBorder="1"/>
    <xf numFmtId="3" fontId="20" fillId="0" borderId="13" xfId="1" applyNumberFormat="1" applyFont="1" applyFill="1" applyBorder="1" applyAlignment="1">
      <alignment horizontal="right"/>
    </xf>
    <xf numFmtId="0" fontId="23" fillId="0" borderId="16" xfId="1" applyFont="1" applyFill="1" applyBorder="1"/>
    <xf numFmtId="0" fontId="32" fillId="0" borderId="0" xfId="1" applyFont="1" applyBorder="1" applyAlignment="1">
      <alignment horizontal="right"/>
    </xf>
    <xf numFmtId="0" fontId="32" fillId="0" borderId="0" xfId="1" applyFont="1" applyFill="1" applyBorder="1"/>
    <xf numFmtId="0" fontId="38" fillId="31" borderId="9" xfId="1" applyFont="1" applyFill="1" applyBorder="1" applyAlignment="1">
      <alignment horizontal="center"/>
    </xf>
    <xf numFmtId="0" fontId="20" fillId="0" borderId="0" xfId="1" applyFont="1" applyFill="1" applyAlignment="1">
      <alignment horizontal="right"/>
    </xf>
    <xf numFmtId="0" fontId="23" fillId="0" borderId="0" xfId="1" applyFont="1" applyFill="1" applyBorder="1" applyAlignment="1">
      <alignment horizontal="center"/>
    </xf>
    <xf numFmtId="0" fontId="23" fillId="0" borderId="6" xfId="1" applyFont="1" applyFill="1" applyBorder="1" applyAlignment="1">
      <alignment horizontal="center"/>
    </xf>
    <xf numFmtId="0" fontId="23" fillId="4" borderId="11" xfId="1" applyFont="1" applyFill="1" applyBorder="1" applyAlignment="1">
      <alignment horizontal="right"/>
    </xf>
    <xf numFmtId="0" fontId="23" fillId="4" borderId="11" xfId="1" applyFont="1" applyFill="1" applyBorder="1" applyAlignment="1">
      <alignment horizontal="center"/>
    </xf>
    <xf numFmtId="0" fontId="39" fillId="0" borderId="7" xfId="1" applyFont="1" applyFill="1" applyBorder="1" applyAlignment="1">
      <alignment horizontal="center" vertical="center" wrapText="1"/>
    </xf>
    <xf numFmtId="165" fontId="23" fillId="18" borderId="11" xfId="3" applyNumberFormat="1" applyFont="1" applyFill="1" applyBorder="1" applyAlignment="1">
      <alignment horizontal="center" vertical="center" wrapText="1"/>
    </xf>
    <xf numFmtId="3" fontId="23" fillId="0" borderId="7" xfId="1" applyNumberFormat="1" applyFont="1" applyFill="1" applyBorder="1" applyAlignment="1">
      <alignment horizontal="center"/>
    </xf>
    <xf numFmtId="0" fontId="20" fillId="0" borderId="0" xfId="1" applyFont="1" applyFill="1" applyBorder="1" applyAlignment="1">
      <alignment horizontal="right"/>
    </xf>
    <xf numFmtId="0" fontId="23" fillId="0" borderId="0" xfId="1" applyFont="1" applyBorder="1" applyAlignment="1">
      <alignment horizontal="center"/>
    </xf>
    <xf numFmtId="2" fontId="23" fillId="14" borderId="12" xfId="1" applyNumberFormat="1" applyFont="1" applyFill="1" applyBorder="1" applyAlignment="1">
      <alignment horizontal="center"/>
    </xf>
    <xf numFmtId="2" fontId="23" fillId="0" borderId="18" xfId="1" applyNumberFormat="1" applyFont="1" applyFill="1" applyBorder="1" applyAlignment="1">
      <alignment horizontal="center"/>
    </xf>
    <xf numFmtId="166" fontId="23" fillId="14" borderId="13" xfId="1" applyNumberFormat="1" applyFont="1" applyFill="1" applyBorder="1" applyAlignment="1">
      <alignment horizontal="center"/>
    </xf>
    <xf numFmtId="166" fontId="23" fillId="0" borderId="18" xfId="1" applyNumberFormat="1" applyFont="1" applyFill="1" applyBorder="1" applyAlignment="1">
      <alignment horizontal="center"/>
    </xf>
    <xf numFmtId="3" fontId="23" fillId="14" borderId="16" xfId="1" applyNumberFormat="1" applyFont="1" applyFill="1" applyBorder="1" applyAlignment="1">
      <alignment horizontal="center"/>
    </xf>
    <xf numFmtId="3" fontId="23" fillId="0" borderId="18" xfId="1" applyNumberFormat="1" applyFont="1" applyFill="1" applyBorder="1" applyAlignment="1">
      <alignment horizontal="center"/>
    </xf>
    <xf numFmtId="0" fontId="23" fillId="13" borderId="11" xfId="1" applyFont="1" applyFill="1" applyBorder="1" applyAlignment="1">
      <alignment horizontal="center" wrapText="1"/>
    </xf>
    <xf numFmtId="166" fontId="23" fillId="6" borderId="12" xfId="1" applyNumberFormat="1" applyFont="1" applyFill="1" applyBorder="1" applyAlignment="1">
      <alignment horizontal="center"/>
    </xf>
    <xf numFmtId="166" fontId="23" fillId="6" borderId="13" xfId="1" applyNumberFormat="1" applyFont="1" applyFill="1" applyBorder="1" applyAlignment="1">
      <alignment horizontal="center"/>
    </xf>
    <xf numFmtId="166" fontId="23" fillId="6" borderId="16" xfId="1" applyNumberFormat="1" applyFont="1" applyFill="1" applyBorder="1" applyAlignment="1">
      <alignment horizontal="center"/>
    </xf>
    <xf numFmtId="166" fontId="23" fillId="6" borderId="11" xfId="1" applyNumberFormat="1" applyFont="1" applyFill="1" applyBorder="1" applyAlignment="1">
      <alignment horizontal="center"/>
    </xf>
    <xf numFmtId="3" fontId="23" fillId="4" borderId="14" xfId="1" applyNumberFormat="1" applyFont="1" applyFill="1" applyBorder="1" applyAlignment="1">
      <alignment horizontal="center"/>
    </xf>
    <xf numFmtId="166" fontId="20" fillId="6" borderId="12" xfId="1" applyNumberFormat="1" applyFont="1" applyFill="1" applyBorder="1" applyAlignment="1">
      <alignment horizontal="center"/>
    </xf>
    <xf numFmtId="3" fontId="20" fillId="6" borderId="13" xfId="1" applyNumberFormat="1" applyFont="1" applyFill="1" applyBorder="1" applyAlignment="1">
      <alignment horizontal="center"/>
    </xf>
    <xf numFmtId="3" fontId="20" fillId="6" borderId="16" xfId="1" applyNumberFormat="1" applyFont="1" applyFill="1" applyBorder="1" applyAlignment="1">
      <alignment horizontal="center"/>
    </xf>
    <xf numFmtId="3" fontId="20" fillId="6" borderId="12" xfId="1" applyNumberFormat="1" applyFont="1" applyFill="1" applyBorder="1" applyAlignment="1">
      <alignment horizontal="center"/>
    </xf>
    <xf numFmtId="3" fontId="20" fillId="6" borderId="13" xfId="1" applyNumberFormat="1" applyFont="1" applyFill="1" applyBorder="1" applyAlignment="1">
      <alignment horizontal="center" vertical="center"/>
    </xf>
    <xf numFmtId="3" fontId="20" fillId="6" borderId="16" xfId="1" applyNumberFormat="1" applyFont="1" applyFill="1" applyBorder="1" applyAlignment="1">
      <alignment horizontal="center" vertical="center"/>
    </xf>
    <xf numFmtId="3" fontId="20" fillId="6" borderId="11" xfId="1" applyNumberFormat="1" applyFont="1" applyFill="1" applyBorder="1" applyAlignment="1">
      <alignment horizontal="center"/>
    </xf>
    <xf numFmtId="167" fontId="23" fillId="0" borderId="0" xfId="1" applyNumberFormat="1" applyFont="1" applyFill="1" applyBorder="1" applyAlignment="1">
      <alignment horizontal="center"/>
    </xf>
    <xf numFmtId="2" fontId="23" fillId="6" borderId="6" xfId="1" applyNumberFormat="1" applyFont="1" applyFill="1" applyBorder="1" applyAlignment="1">
      <alignment horizontal="center"/>
    </xf>
    <xf numFmtId="166" fontId="23" fillId="6" borderId="0" xfId="1" applyNumberFormat="1" applyFont="1" applyFill="1" applyBorder="1" applyAlignment="1">
      <alignment horizontal="center"/>
    </xf>
    <xf numFmtId="3" fontId="23" fillId="6" borderId="15" xfId="1" applyNumberFormat="1" applyFont="1" applyFill="1" applyBorder="1" applyAlignment="1">
      <alignment horizontal="center"/>
    </xf>
    <xf numFmtId="0" fontId="20" fillId="0" borderId="0" xfId="1" applyFont="1" applyFill="1" applyBorder="1" applyAlignment="1">
      <alignment horizontal="center"/>
    </xf>
    <xf numFmtId="3" fontId="23" fillId="17" borderId="8" xfId="2" applyNumberFormat="1" applyFont="1" applyFill="1" applyBorder="1" applyAlignment="1">
      <alignment horizontal="center"/>
    </xf>
    <xf numFmtId="3" fontId="23" fillId="17" borderId="9" xfId="2" applyNumberFormat="1" applyFont="1" applyFill="1" applyBorder="1" applyAlignment="1">
      <alignment horizontal="center"/>
    </xf>
    <xf numFmtId="3" fontId="23" fillId="17" borderId="10" xfId="2" applyNumberFormat="1" applyFont="1" applyFill="1" applyBorder="1" applyAlignment="1">
      <alignment horizontal="center"/>
    </xf>
    <xf numFmtId="0" fontId="20" fillId="0" borderId="0" xfId="1" applyFont="1" applyBorder="1" applyAlignment="1">
      <alignment horizontal="center"/>
    </xf>
    <xf numFmtId="2" fontId="20" fillId="14" borderId="5" xfId="2" applyNumberFormat="1" applyFont="1" applyFill="1" applyBorder="1" applyAlignment="1">
      <alignment horizontal="center"/>
    </xf>
    <xf numFmtId="2" fontId="20" fillId="14" borderId="6" xfId="2" applyNumberFormat="1" applyFont="1" applyFill="1" applyBorder="1" applyAlignment="1">
      <alignment horizontal="center"/>
    </xf>
    <xf numFmtId="2" fontId="20" fillId="14" borderId="17" xfId="2" applyNumberFormat="1" applyFont="1" applyFill="1" applyBorder="1" applyAlignment="1">
      <alignment horizontal="center"/>
    </xf>
    <xf numFmtId="3" fontId="20" fillId="14" borderId="7" xfId="2" applyNumberFormat="1" applyFont="1" applyFill="1" applyBorder="1" applyAlignment="1">
      <alignment horizontal="center"/>
    </xf>
    <xf numFmtId="3" fontId="20" fillId="14" borderId="0" xfId="2" applyNumberFormat="1" applyFont="1" applyFill="1" applyBorder="1" applyAlignment="1">
      <alignment horizontal="center"/>
    </xf>
    <xf numFmtId="3" fontId="20" fillId="14" borderId="18" xfId="2" applyNumberFormat="1" applyFont="1" applyFill="1" applyBorder="1" applyAlignment="1">
      <alignment horizontal="center"/>
    </xf>
    <xf numFmtId="3" fontId="20" fillId="14" borderId="14" xfId="2" applyNumberFormat="1" applyFont="1" applyFill="1" applyBorder="1" applyAlignment="1">
      <alignment horizontal="center"/>
    </xf>
    <xf numFmtId="3" fontId="20" fillId="14" borderId="15" xfId="2" applyNumberFormat="1" applyFont="1" applyFill="1" applyBorder="1" applyAlignment="1">
      <alignment horizontal="center"/>
    </xf>
    <xf numFmtId="3" fontId="20" fillId="14" borderId="19" xfId="2" applyNumberFormat="1" applyFont="1" applyFill="1" applyBorder="1" applyAlignment="1">
      <alignment horizontal="center"/>
    </xf>
    <xf numFmtId="3" fontId="25" fillId="17" borderId="5" xfId="2" applyNumberFormat="1" applyFont="1" applyFill="1" applyBorder="1" applyAlignment="1">
      <alignment horizontal="center"/>
    </xf>
    <xf numFmtId="3" fontId="25" fillId="17" borderId="6" xfId="2" applyNumberFormat="1" applyFont="1" applyFill="1" applyBorder="1" applyAlignment="1">
      <alignment horizontal="center"/>
    </xf>
    <xf numFmtId="3" fontId="25" fillId="17" borderId="17" xfId="2" applyNumberFormat="1" applyFont="1" applyFill="1" applyBorder="1" applyAlignment="1">
      <alignment horizontal="center"/>
    </xf>
    <xf numFmtId="3" fontId="25" fillId="17" borderId="7" xfId="2" applyNumberFormat="1" applyFont="1" applyFill="1" applyBorder="1" applyAlignment="1">
      <alignment horizontal="center"/>
    </xf>
    <xf numFmtId="3" fontId="25" fillId="17" borderId="0" xfId="2" applyNumberFormat="1" applyFont="1" applyFill="1" applyBorder="1" applyAlignment="1">
      <alignment horizontal="center"/>
    </xf>
    <xf numFmtId="3" fontId="25" fillId="17" borderId="18" xfId="2" applyNumberFormat="1" applyFont="1" applyFill="1" applyBorder="1" applyAlignment="1">
      <alignment horizontal="center"/>
    </xf>
    <xf numFmtId="3" fontId="25" fillId="17" borderId="14" xfId="2" applyNumberFormat="1" applyFont="1" applyFill="1" applyBorder="1" applyAlignment="1">
      <alignment horizontal="center"/>
    </xf>
    <xf numFmtId="3" fontId="25" fillId="17" borderId="15" xfId="2" applyNumberFormat="1" applyFont="1" applyFill="1" applyBorder="1" applyAlignment="1">
      <alignment horizontal="center"/>
    </xf>
    <xf numFmtId="3" fontId="25" fillId="17" borderId="19" xfId="2" applyNumberFormat="1" applyFont="1" applyFill="1" applyBorder="1" applyAlignment="1">
      <alignment horizontal="center"/>
    </xf>
    <xf numFmtId="3" fontId="23" fillId="14" borderId="8" xfId="2" applyNumberFormat="1" applyFont="1" applyFill="1" applyBorder="1" applyAlignment="1">
      <alignment horizontal="center"/>
    </xf>
    <xf numFmtId="3" fontId="23" fillId="14" borderId="9" xfId="2" applyNumberFormat="1" applyFont="1" applyFill="1" applyBorder="1" applyAlignment="1">
      <alignment horizontal="center"/>
    </xf>
    <xf numFmtId="3" fontId="23" fillId="14" borderId="10" xfId="2" applyNumberFormat="1" applyFont="1" applyFill="1" applyBorder="1" applyAlignment="1">
      <alignment horizontal="center"/>
    </xf>
    <xf numFmtId="3" fontId="25" fillId="17" borderId="5" xfId="3" applyNumberFormat="1" applyFont="1" applyFill="1" applyBorder="1" applyAlignment="1">
      <alignment horizontal="center" wrapText="1"/>
    </xf>
    <xf numFmtId="3" fontId="25" fillId="17" borderId="6" xfId="3" applyNumberFormat="1" applyFont="1" applyFill="1" applyBorder="1" applyAlignment="1">
      <alignment horizontal="center" wrapText="1"/>
    </xf>
    <xf numFmtId="3" fontId="25" fillId="17" borderId="17" xfId="3" applyNumberFormat="1" applyFont="1" applyFill="1" applyBorder="1" applyAlignment="1">
      <alignment horizontal="center" wrapText="1"/>
    </xf>
    <xf numFmtId="3" fontId="25" fillId="17" borderId="7" xfId="3" applyNumberFormat="1" applyFont="1" applyFill="1" applyBorder="1" applyAlignment="1">
      <alignment horizontal="center" vertical="center" wrapText="1"/>
    </xf>
    <xf numFmtId="3" fontId="25" fillId="17" borderId="0" xfId="3" applyNumberFormat="1" applyFont="1" applyFill="1" applyBorder="1" applyAlignment="1">
      <alignment horizontal="center" vertical="center" wrapText="1"/>
    </xf>
    <xf numFmtId="3" fontId="25" fillId="17" borderId="18" xfId="3" applyNumberFormat="1" applyFont="1" applyFill="1" applyBorder="1" applyAlignment="1">
      <alignment horizontal="center" vertical="center" wrapText="1"/>
    </xf>
    <xf numFmtId="3" fontId="25" fillId="17" borderId="14" xfId="3" applyNumberFormat="1" applyFont="1" applyFill="1" applyBorder="1" applyAlignment="1">
      <alignment horizontal="center" vertical="center" wrapText="1"/>
    </xf>
    <xf numFmtId="3" fontId="25" fillId="17" borderId="15" xfId="3" applyNumberFormat="1" applyFont="1" applyFill="1" applyBorder="1" applyAlignment="1">
      <alignment horizontal="center" vertical="center" wrapText="1"/>
    </xf>
    <xf numFmtId="3" fontId="25" fillId="17" borderId="19" xfId="3" applyNumberFormat="1" applyFont="1" applyFill="1" applyBorder="1" applyAlignment="1">
      <alignment horizontal="center" vertical="center" wrapText="1"/>
    </xf>
    <xf numFmtId="165" fontId="23" fillId="14" borderId="8" xfId="3" applyNumberFormat="1" applyFont="1" applyFill="1" applyBorder="1" applyAlignment="1">
      <alignment horizontal="center" wrapText="1"/>
    </xf>
    <xf numFmtId="165" fontId="23" fillId="14" borderId="9" xfId="3" applyNumberFormat="1" applyFont="1" applyFill="1" applyBorder="1" applyAlignment="1">
      <alignment horizontal="center" wrapText="1"/>
    </xf>
    <xf numFmtId="165" fontId="23" fillId="14" borderId="10" xfId="3" applyNumberFormat="1" applyFont="1" applyFill="1" applyBorder="1" applyAlignment="1">
      <alignment horizontal="center" wrapText="1"/>
    </xf>
    <xf numFmtId="0" fontId="20" fillId="0" borderId="27" xfId="1" applyFont="1" applyBorder="1"/>
    <xf numFmtId="0" fontId="20" fillId="0" borderId="26" xfId="1" applyFont="1" applyBorder="1"/>
    <xf numFmtId="0" fontId="20" fillId="11" borderId="29" xfId="1" applyFont="1" applyFill="1" applyBorder="1"/>
    <xf numFmtId="3" fontId="20" fillId="8" borderId="10" xfId="2" applyNumberFormat="1" applyFont="1" applyFill="1" applyBorder="1" applyAlignment="1">
      <alignment horizontal="center" wrapText="1"/>
    </xf>
    <xf numFmtId="0" fontId="20" fillId="0" borderId="30" xfId="1" applyFont="1" applyBorder="1"/>
    <xf numFmtId="0" fontId="23" fillId="13" borderId="32" xfId="1" applyFont="1" applyFill="1" applyBorder="1" applyAlignment="1">
      <alignment horizontal="center" vertical="center" wrapText="1"/>
    </xf>
    <xf numFmtId="0" fontId="23" fillId="13" borderId="12" xfId="1" applyFont="1" applyFill="1" applyBorder="1" applyAlignment="1">
      <alignment horizontal="center" vertical="center" wrapText="1"/>
    </xf>
    <xf numFmtId="0" fontId="23" fillId="13" borderId="11" xfId="1" applyFont="1" applyFill="1" applyBorder="1" applyAlignment="1">
      <alignment horizontal="center" vertical="center" wrapText="1"/>
    </xf>
    <xf numFmtId="0" fontId="23" fillId="13" borderId="33" xfId="1" applyFont="1" applyFill="1" applyBorder="1" applyAlignment="1">
      <alignment horizontal="center" vertical="center" wrapText="1"/>
    </xf>
    <xf numFmtId="165" fontId="28" fillId="13" borderId="32" xfId="3" applyNumberFormat="1" applyFont="1" applyFill="1" applyBorder="1" applyAlignment="1">
      <alignment horizontal="center"/>
    </xf>
    <xf numFmtId="165" fontId="28" fillId="13" borderId="12" xfId="3" applyNumberFormat="1" applyFont="1" applyFill="1" applyBorder="1" applyAlignment="1">
      <alignment horizontal="center"/>
    </xf>
    <xf numFmtId="0" fontId="20" fillId="19" borderId="12" xfId="1" applyFont="1" applyFill="1" applyBorder="1" applyAlignment="1">
      <alignment horizontal="center"/>
    </xf>
    <xf numFmtId="0" fontId="20" fillId="13" borderId="5" xfId="1" applyFont="1" applyFill="1" applyBorder="1" applyAlignment="1">
      <alignment horizontal="center"/>
    </xf>
    <xf numFmtId="165" fontId="28" fillId="13" borderId="33" xfId="3" applyNumberFormat="1" applyFont="1" applyFill="1" applyBorder="1" applyAlignment="1">
      <alignment horizontal="center"/>
    </xf>
    <xf numFmtId="165" fontId="23" fillId="13" borderId="34" xfId="3" applyNumberFormat="1" applyFont="1" applyFill="1" applyBorder="1" applyAlignment="1">
      <alignment horizontal="center"/>
    </xf>
    <xf numFmtId="165" fontId="28" fillId="13" borderId="13" xfId="3" applyNumberFormat="1" applyFont="1" applyFill="1" applyBorder="1" applyAlignment="1">
      <alignment horizontal="center"/>
    </xf>
    <xf numFmtId="0" fontId="20" fillId="5" borderId="13" xfId="1" applyFont="1" applyFill="1" applyBorder="1" applyAlignment="1">
      <alignment horizontal="center"/>
    </xf>
    <xf numFmtId="3" fontId="20" fillId="13" borderId="7" xfId="1" applyNumberFormat="1" applyFont="1" applyFill="1" applyBorder="1" applyAlignment="1">
      <alignment horizontal="center"/>
    </xf>
    <xf numFmtId="165" fontId="28" fillId="13" borderId="35" xfId="3" applyNumberFormat="1" applyFont="1" applyFill="1" applyBorder="1" applyAlignment="1">
      <alignment horizontal="center"/>
    </xf>
    <xf numFmtId="0" fontId="20" fillId="20" borderId="13" xfId="1" applyFont="1" applyFill="1" applyBorder="1" applyAlignment="1">
      <alignment horizontal="center"/>
    </xf>
    <xf numFmtId="0" fontId="20" fillId="10" borderId="13" xfId="1" applyFont="1" applyFill="1" applyBorder="1" applyAlignment="1">
      <alignment horizontal="center"/>
    </xf>
    <xf numFmtId="0" fontId="20" fillId="21" borderId="13" xfId="1" applyFont="1" applyFill="1" applyBorder="1" applyAlignment="1">
      <alignment horizontal="center"/>
    </xf>
    <xf numFmtId="165" fontId="23" fillId="13" borderId="36" xfId="3" applyNumberFormat="1" applyFont="1" applyFill="1" applyBorder="1" applyAlignment="1">
      <alignment horizontal="center"/>
    </xf>
    <xf numFmtId="165" fontId="28" fillId="13" borderId="16" xfId="3" applyNumberFormat="1" applyFont="1" applyFill="1" applyBorder="1" applyAlignment="1">
      <alignment horizontal="center"/>
    </xf>
    <xf numFmtId="0" fontId="20" fillId="22" borderId="16" xfId="1" applyFont="1" applyFill="1" applyBorder="1" applyAlignment="1">
      <alignment horizontal="center"/>
    </xf>
    <xf numFmtId="3" fontId="20" fillId="13" borderId="14" xfId="1" applyNumberFormat="1" applyFont="1" applyFill="1" applyBorder="1" applyAlignment="1">
      <alignment horizontal="center"/>
    </xf>
    <xf numFmtId="165" fontId="28" fillId="13" borderId="37" xfId="3" applyNumberFormat="1" applyFont="1" applyFill="1" applyBorder="1" applyAlignment="1">
      <alignment horizontal="center"/>
    </xf>
    <xf numFmtId="0" fontId="20" fillId="0" borderId="26" xfId="1" applyFont="1" applyFill="1" applyBorder="1"/>
    <xf numFmtId="165" fontId="28" fillId="0" borderId="0" xfId="3" applyNumberFormat="1" applyFont="1" applyFill="1" applyBorder="1" applyAlignment="1">
      <alignment horizontal="center"/>
    </xf>
    <xf numFmtId="165" fontId="40" fillId="0" borderId="0" xfId="3" applyNumberFormat="1" applyFont="1" applyFill="1" applyBorder="1" applyAlignment="1">
      <alignment horizontal="center"/>
    </xf>
    <xf numFmtId="0" fontId="20" fillId="0" borderId="27" xfId="1" applyFont="1" applyFill="1" applyBorder="1"/>
    <xf numFmtId="0" fontId="23" fillId="11" borderId="29" xfId="1" applyFont="1" applyFill="1" applyBorder="1" applyAlignment="1">
      <alignment wrapText="1"/>
    </xf>
    <xf numFmtId="0" fontId="23" fillId="11" borderId="29" xfId="1" applyFont="1" applyFill="1" applyBorder="1" applyAlignment="1">
      <alignment vertical="center" wrapText="1"/>
    </xf>
    <xf numFmtId="165" fontId="28" fillId="13" borderId="11" xfId="3" applyNumberFormat="1" applyFont="1" applyFill="1" applyBorder="1" applyAlignment="1">
      <alignment horizontal="center" vertical="center"/>
    </xf>
    <xf numFmtId="0" fontId="23" fillId="13" borderId="11" xfId="1" applyFont="1" applyFill="1" applyBorder="1" applyAlignment="1">
      <alignment horizontal="center" vertical="center"/>
    </xf>
    <xf numFmtId="0" fontId="23" fillId="13" borderId="12" xfId="1" applyFont="1" applyFill="1" applyBorder="1" applyAlignment="1">
      <alignment horizontal="center" vertical="center"/>
    </xf>
    <xf numFmtId="165" fontId="28" fillId="13" borderId="29" xfId="3" applyNumberFormat="1" applyFont="1" applyFill="1" applyBorder="1" applyAlignment="1">
      <alignment horizontal="center"/>
    </xf>
    <xf numFmtId="165" fontId="28" fillId="13" borderId="11" xfId="3" applyNumberFormat="1" applyFont="1" applyFill="1" applyBorder="1" applyAlignment="1">
      <alignment horizontal="center"/>
    </xf>
    <xf numFmtId="3" fontId="20" fillId="13" borderId="5" xfId="1" applyNumberFormat="1" applyFont="1" applyFill="1" applyBorder="1" applyAlignment="1">
      <alignment horizontal="center"/>
    </xf>
    <xf numFmtId="165" fontId="28" fillId="13" borderId="17" xfId="3" applyNumberFormat="1" applyFont="1" applyFill="1" applyBorder="1" applyAlignment="1">
      <alignment horizontal="center"/>
    </xf>
    <xf numFmtId="165" fontId="28" fillId="13" borderId="19" xfId="3" applyNumberFormat="1" applyFont="1" applyFill="1" applyBorder="1" applyAlignment="1">
      <alignment horizontal="center"/>
    </xf>
    <xf numFmtId="0" fontId="38" fillId="13" borderId="28" xfId="1" applyFont="1" applyFill="1" applyBorder="1" applyAlignment="1">
      <alignment wrapText="1"/>
    </xf>
    <xf numFmtId="0" fontId="38" fillId="13" borderId="9" xfId="1" applyFont="1" applyFill="1" applyBorder="1" applyAlignment="1">
      <alignment wrapText="1"/>
    </xf>
    <xf numFmtId="0" fontId="38" fillId="13" borderId="31" xfId="1" applyFont="1" applyFill="1" applyBorder="1" applyAlignment="1">
      <alignment wrapText="1"/>
    </xf>
    <xf numFmtId="0" fontId="38" fillId="17" borderId="26" xfId="1" applyFont="1" applyFill="1" applyBorder="1" applyAlignment="1">
      <alignment horizontal="left" wrapText="1"/>
    </xf>
    <xf numFmtId="0" fontId="38" fillId="17" borderId="0" xfId="1" applyFont="1" applyFill="1" applyBorder="1" applyAlignment="1">
      <alignment horizontal="left" wrapText="1"/>
    </xf>
    <xf numFmtId="0" fontId="38" fillId="17" borderId="15" xfId="1" applyFont="1" applyFill="1" applyBorder="1" applyAlignment="1">
      <alignment horizontal="left" wrapText="1"/>
    </xf>
    <xf numFmtId="0" fontId="38" fillId="17" borderId="19" xfId="1" applyFont="1" applyFill="1" applyBorder="1" applyAlignment="1">
      <alignment horizontal="left" wrapText="1"/>
    </xf>
    <xf numFmtId="165" fontId="28" fillId="13" borderId="12" xfId="3" applyNumberFormat="1" applyFont="1" applyFill="1" applyBorder="1" applyAlignment="1">
      <alignment horizontal="center" vertical="center"/>
    </xf>
    <xf numFmtId="165" fontId="28" fillId="13" borderId="13" xfId="3" applyNumberFormat="1" applyFont="1" applyFill="1" applyBorder="1" applyAlignment="1">
      <alignment horizontal="center" vertical="center"/>
    </xf>
    <xf numFmtId="0" fontId="20" fillId="0" borderId="0" xfId="1" applyFont="1" applyBorder="1" applyAlignment="1">
      <alignment horizontal="right"/>
    </xf>
    <xf numFmtId="0" fontId="20" fillId="19" borderId="5" xfId="1" applyFont="1" applyFill="1" applyBorder="1" applyAlignment="1">
      <alignment horizontal="center"/>
    </xf>
    <xf numFmtId="0" fontId="20" fillId="13" borderId="12" xfId="1" applyFont="1" applyFill="1" applyBorder="1" applyAlignment="1">
      <alignment horizontal="center" vertical="center"/>
    </xf>
    <xf numFmtId="165" fontId="28" fillId="13" borderId="17" xfId="3" applyNumberFormat="1" applyFont="1" applyFill="1" applyBorder="1" applyAlignment="1">
      <alignment horizontal="center" vertical="center"/>
    </xf>
    <xf numFmtId="0" fontId="20" fillId="5" borderId="7" xfId="1" applyFont="1" applyFill="1" applyBorder="1" applyAlignment="1">
      <alignment horizontal="center"/>
    </xf>
    <xf numFmtId="0" fontId="20" fillId="13" borderId="13" xfId="1" applyFont="1" applyFill="1" applyBorder="1" applyAlignment="1">
      <alignment horizontal="center" vertical="center"/>
    </xf>
    <xf numFmtId="165" fontId="28" fillId="13" borderId="18" xfId="3" applyNumberFormat="1" applyFont="1" applyFill="1" applyBorder="1" applyAlignment="1">
      <alignment horizontal="center" vertical="center"/>
    </xf>
    <xf numFmtId="0" fontId="20" fillId="20" borderId="7" xfId="1" applyFont="1" applyFill="1" applyBorder="1" applyAlignment="1">
      <alignment horizontal="center"/>
    </xf>
    <xf numFmtId="0" fontId="20" fillId="10" borderId="7" xfId="1" applyFont="1" applyFill="1" applyBorder="1" applyAlignment="1">
      <alignment horizontal="center"/>
    </xf>
    <xf numFmtId="4" fontId="23" fillId="6" borderId="12" xfId="1" applyNumberFormat="1" applyFont="1" applyFill="1" applyBorder="1" applyAlignment="1">
      <alignment horizontal="center"/>
    </xf>
    <xf numFmtId="0" fontId="20" fillId="22" borderId="14" xfId="1" applyFont="1" applyFill="1" applyBorder="1" applyAlignment="1">
      <alignment horizontal="center"/>
    </xf>
    <xf numFmtId="0" fontId="20" fillId="13" borderId="16" xfId="1" applyFont="1" applyFill="1" applyBorder="1" applyAlignment="1">
      <alignment horizontal="center" vertical="center"/>
    </xf>
    <xf numFmtId="165" fontId="28" fillId="13" borderId="16" xfId="3" applyNumberFormat="1" applyFont="1" applyFill="1" applyBorder="1" applyAlignment="1">
      <alignment horizontal="center" vertical="center"/>
    </xf>
    <xf numFmtId="165" fontId="28" fillId="13" borderId="19" xfId="3" applyNumberFormat="1" applyFont="1" applyFill="1" applyBorder="1" applyAlignment="1">
      <alignment horizontal="center" vertical="center"/>
    </xf>
    <xf numFmtId="3" fontId="23" fillId="6" borderId="11" xfId="3" applyNumberFormat="1" applyFont="1" applyFill="1" applyBorder="1" applyAlignment="1">
      <alignment horizontal="center"/>
    </xf>
    <xf numFmtId="0" fontId="28" fillId="0" borderId="26" xfId="0" applyFont="1" applyBorder="1"/>
    <xf numFmtId="0" fontId="28" fillId="0" borderId="0" xfId="0" applyFont="1" applyBorder="1"/>
    <xf numFmtId="3" fontId="28" fillId="13" borderId="6" xfId="0" applyNumberFormat="1" applyFont="1" applyFill="1" applyBorder="1" applyAlignment="1">
      <alignment horizontal="center"/>
    </xf>
    <xf numFmtId="165" fontId="23" fillId="13" borderId="11" xfId="3" applyNumberFormat="1" applyFont="1" applyFill="1" applyBorder="1" applyAlignment="1">
      <alignment horizontal="center" vertical="center"/>
    </xf>
    <xf numFmtId="0" fontId="20" fillId="0" borderId="0" xfId="1" applyFont="1" applyBorder="1" applyAlignment="1">
      <alignment horizontal="right" vertical="center"/>
    </xf>
    <xf numFmtId="0" fontId="20" fillId="13" borderId="5" xfId="1" applyFont="1" applyFill="1" applyBorder="1" applyAlignment="1">
      <alignment horizontal="center" vertical="center"/>
    </xf>
    <xf numFmtId="0" fontId="20" fillId="13" borderId="7" xfId="1" applyFont="1" applyFill="1" applyBorder="1" applyAlignment="1">
      <alignment horizontal="center" vertical="center"/>
    </xf>
    <xf numFmtId="2" fontId="20" fillId="13" borderId="7" xfId="1" applyNumberFormat="1" applyFont="1" applyFill="1" applyBorder="1" applyAlignment="1">
      <alignment horizontal="center" vertical="center"/>
    </xf>
    <xf numFmtId="2" fontId="20" fillId="13" borderId="14" xfId="1" applyNumberFormat="1" applyFont="1" applyFill="1" applyBorder="1" applyAlignment="1">
      <alignment horizontal="center" vertical="center"/>
    </xf>
    <xf numFmtId="165" fontId="23" fillId="6" borderId="39" xfId="3" applyNumberFormat="1" applyFont="1" applyFill="1" applyBorder="1" applyAlignment="1">
      <alignment horizontal="center"/>
    </xf>
    <xf numFmtId="0" fontId="20" fillId="0" borderId="40" xfId="1" applyFont="1" applyBorder="1"/>
    <xf numFmtId="0" fontId="20" fillId="0" borderId="41" xfId="1" applyFont="1" applyBorder="1"/>
    <xf numFmtId="0" fontId="38" fillId="31" borderId="8" xfId="1" applyFont="1" applyFill="1" applyBorder="1" applyAlignment="1">
      <alignment horizontal="right" wrapText="1"/>
    </xf>
    <xf numFmtId="0" fontId="23" fillId="13" borderId="11" xfId="1" applyFont="1" applyFill="1" applyBorder="1" applyAlignment="1">
      <alignment wrapText="1"/>
    </xf>
    <xf numFmtId="0" fontId="20" fillId="0" borderId="0" xfId="10" applyFont="1" applyAlignment="1">
      <alignment horizontal="right"/>
    </xf>
    <xf numFmtId="0" fontId="20" fillId="0" borderId="0" xfId="10" applyFont="1" applyFill="1" applyBorder="1"/>
    <xf numFmtId="0" fontId="20" fillId="0" borderId="0" xfId="10" applyFont="1"/>
    <xf numFmtId="0" fontId="20" fillId="0" borderId="0" xfId="10" applyFont="1" applyFill="1" applyBorder="1" applyAlignment="1">
      <alignment horizontal="right"/>
    </xf>
    <xf numFmtId="3" fontId="23" fillId="11" borderId="11" xfId="10" applyNumberFormat="1" applyFont="1" applyFill="1" applyBorder="1" applyAlignment="1">
      <alignment horizontal="right" wrapText="1"/>
    </xf>
    <xf numFmtId="3" fontId="23" fillId="0" borderId="0" xfId="10" applyNumberFormat="1" applyFont="1" applyFill="1" applyBorder="1" applyAlignment="1">
      <alignment horizontal="center" wrapText="1"/>
    </xf>
    <xf numFmtId="165" fontId="23" fillId="11" borderId="11" xfId="3" applyNumberFormat="1" applyFont="1" applyFill="1" applyBorder="1" applyAlignment="1">
      <alignment horizontal="right" vertical="center" wrapText="1"/>
    </xf>
    <xf numFmtId="165" fontId="23" fillId="11" borderId="11" xfId="3" applyNumberFormat="1" applyFont="1" applyFill="1" applyBorder="1" applyAlignment="1">
      <alignment horizontal="center" vertical="center" wrapText="1"/>
    </xf>
    <xf numFmtId="165" fontId="23" fillId="18" borderId="5" xfId="3" applyNumberFormat="1" applyFont="1" applyFill="1" applyBorder="1" applyAlignment="1">
      <alignment horizontal="center" vertical="center" wrapText="1"/>
    </xf>
    <xf numFmtId="165" fontId="23" fillId="13" borderId="12" xfId="3" applyNumberFormat="1" applyFont="1" applyFill="1" applyBorder="1" applyAlignment="1">
      <alignment horizontal="right" wrapText="1"/>
    </xf>
    <xf numFmtId="3" fontId="23" fillId="6" borderId="11" xfId="10" applyNumberFormat="1" applyFont="1" applyFill="1" applyBorder="1" applyAlignment="1">
      <alignment horizontal="center"/>
    </xf>
    <xf numFmtId="3" fontId="25" fillId="8" borderId="8" xfId="3" applyNumberFormat="1" applyFont="1" applyFill="1" applyBorder="1" applyAlignment="1">
      <alignment horizontal="center"/>
    </xf>
    <xf numFmtId="3" fontId="25" fillId="8" borderId="9" xfId="3" applyNumberFormat="1" applyFont="1" applyFill="1" applyBorder="1" applyAlignment="1">
      <alignment horizontal="center"/>
    </xf>
    <xf numFmtId="3" fontId="25" fillId="8" borderId="10" xfId="3" applyNumberFormat="1" applyFont="1" applyFill="1" applyBorder="1" applyAlignment="1">
      <alignment horizontal="center"/>
    </xf>
    <xf numFmtId="165" fontId="20" fillId="13" borderId="12" xfId="3" applyNumberFormat="1" applyFont="1" applyFill="1" applyBorder="1" applyAlignment="1">
      <alignment horizontal="right" wrapText="1"/>
    </xf>
    <xf numFmtId="3" fontId="23" fillId="6" borderId="12" xfId="10" applyNumberFormat="1" applyFont="1" applyFill="1" applyBorder="1" applyAlignment="1">
      <alignment horizontal="center"/>
    </xf>
    <xf numFmtId="3" fontId="25" fillId="8" borderId="5" xfId="3" applyNumberFormat="1" applyFont="1" applyFill="1" applyBorder="1" applyAlignment="1">
      <alignment horizontal="center"/>
    </xf>
    <xf numFmtId="3" fontId="25" fillId="8" borderId="6" xfId="3" applyNumberFormat="1" applyFont="1" applyFill="1" applyBorder="1" applyAlignment="1">
      <alignment horizontal="center"/>
    </xf>
    <xf numFmtId="3" fontId="25" fillId="8" borderId="17" xfId="3" applyNumberFormat="1" applyFont="1" applyFill="1" applyBorder="1" applyAlignment="1">
      <alignment horizontal="center"/>
    </xf>
    <xf numFmtId="165" fontId="20" fillId="13" borderId="13" xfId="3" applyNumberFormat="1" applyFont="1" applyFill="1" applyBorder="1" applyAlignment="1">
      <alignment horizontal="right" wrapText="1"/>
    </xf>
    <xf numFmtId="3" fontId="23" fillId="6" borderId="13" xfId="10" applyNumberFormat="1" applyFont="1" applyFill="1" applyBorder="1" applyAlignment="1">
      <alignment horizontal="center"/>
    </xf>
    <xf numFmtId="3" fontId="25" fillId="8" borderId="7" xfId="3" applyNumberFormat="1" applyFont="1" applyFill="1" applyBorder="1" applyAlignment="1">
      <alignment horizontal="center"/>
    </xf>
    <xf numFmtId="3" fontId="25" fillId="8" borderId="0" xfId="3" applyNumberFormat="1" applyFont="1" applyFill="1" applyBorder="1" applyAlignment="1">
      <alignment horizontal="center"/>
    </xf>
    <xf numFmtId="3" fontId="25" fillId="8" borderId="18" xfId="3" applyNumberFormat="1" applyFont="1" applyFill="1" applyBorder="1" applyAlignment="1">
      <alignment horizontal="center"/>
    </xf>
    <xf numFmtId="165" fontId="20" fillId="13" borderId="16" xfId="3" applyNumberFormat="1" applyFont="1" applyFill="1" applyBorder="1" applyAlignment="1">
      <alignment horizontal="right" wrapText="1"/>
    </xf>
    <xf numFmtId="3" fontId="23" fillId="6" borderId="16" xfId="10" applyNumberFormat="1" applyFont="1" applyFill="1" applyBorder="1" applyAlignment="1">
      <alignment horizontal="center"/>
    </xf>
    <xf numFmtId="3" fontId="25" fillId="8" borderId="14" xfId="3" applyNumberFormat="1" applyFont="1" applyFill="1" applyBorder="1" applyAlignment="1">
      <alignment horizontal="center"/>
    </xf>
    <xf numFmtId="3" fontId="25" fillId="8" borderId="15" xfId="3" applyNumberFormat="1" applyFont="1" applyFill="1" applyBorder="1" applyAlignment="1">
      <alignment horizontal="center"/>
    </xf>
    <xf numFmtId="3" fontId="25" fillId="8" borderId="19" xfId="3" applyNumberFormat="1" applyFont="1" applyFill="1" applyBorder="1" applyAlignment="1">
      <alignment horizontal="center"/>
    </xf>
    <xf numFmtId="165" fontId="23" fillId="13" borderId="14" xfId="3" applyNumberFormat="1" applyFont="1" applyFill="1" applyBorder="1" applyAlignment="1">
      <alignment horizontal="right" wrapText="1"/>
    </xf>
    <xf numFmtId="165" fontId="20" fillId="0" borderId="0" xfId="3" applyNumberFormat="1" applyFont="1" applyFill="1" applyBorder="1" applyAlignment="1">
      <alignment horizontal="right" wrapText="1"/>
    </xf>
    <xf numFmtId="165" fontId="20" fillId="0" borderId="0" xfId="3" applyNumberFormat="1" applyFont="1" applyFill="1" applyBorder="1" applyAlignment="1">
      <alignment horizontal="center" wrapText="1"/>
    </xf>
    <xf numFmtId="165" fontId="23" fillId="13" borderId="11" xfId="3" applyNumberFormat="1" applyFont="1" applyFill="1" applyBorder="1" applyAlignment="1">
      <alignment horizontal="right" wrapText="1"/>
    </xf>
    <xf numFmtId="9" fontId="23" fillId="13" borderId="11" xfId="3" applyNumberFormat="1" applyFont="1" applyFill="1" applyBorder="1" applyAlignment="1">
      <alignment horizontal="center" wrapText="1"/>
    </xf>
    <xf numFmtId="3" fontId="20" fillId="13" borderId="11" xfId="3" applyNumberFormat="1" applyFont="1" applyFill="1" applyBorder="1" applyAlignment="1">
      <alignment horizontal="center" wrapText="1"/>
    </xf>
    <xf numFmtId="165" fontId="21" fillId="18" borderId="5" xfId="3" applyNumberFormat="1" applyFont="1" applyFill="1" applyBorder="1" applyAlignment="1">
      <alignment horizontal="center" vertical="center" wrapText="1"/>
    </xf>
    <xf numFmtId="3" fontId="23" fillId="6" borderId="5" xfId="0" applyNumberFormat="1" applyFont="1" applyFill="1" applyBorder="1" applyAlignment="1">
      <alignment horizontal="center"/>
    </xf>
    <xf numFmtId="3" fontId="25" fillId="8" borderId="5" xfId="3" applyNumberFormat="1" applyFont="1" applyFill="1" applyBorder="1" applyAlignment="1">
      <alignment horizontal="center" vertical="center"/>
    </xf>
    <xf numFmtId="3" fontId="25" fillId="8" borderId="6" xfId="3" applyNumberFormat="1" applyFont="1" applyFill="1" applyBorder="1" applyAlignment="1">
      <alignment horizontal="center" vertical="center"/>
    </xf>
    <xf numFmtId="3" fontId="25" fillId="8" borderId="17" xfId="3" applyNumberFormat="1" applyFont="1" applyFill="1" applyBorder="1" applyAlignment="1">
      <alignment horizontal="center" vertical="center"/>
    </xf>
    <xf numFmtId="3" fontId="25" fillId="8" borderId="7" xfId="3" applyNumberFormat="1" applyFont="1" applyFill="1" applyBorder="1" applyAlignment="1">
      <alignment horizontal="center" vertical="center"/>
    </xf>
    <xf numFmtId="3" fontId="25" fillId="8" borderId="0" xfId="3" applyNumberFormat="1" applyFont="1" applyFill="1" applyBorder="1" applyAlignment="1">
      <alignment horizontal="center" vertical="center"/>
    </xf>
    <xf numFmtId="3" fontId="25" fillId="8" borderId="18" xfId="3" applyNumberFormat="1" applyFont="1" applyFill="1" applyBorder="1" applyAlignment="1">
      <alignment horizontal="center" vertical="center"/>
    </xf>
    <xf numFmtId="165" fontId="20" fillId="13" borderId="11" xfId="3" applyNumberFormat="1" applyFont="1" applyFill="1" applyBorder="1" applyAlignment="1">
      <alignment horizontal="right" wrapText="1"/>
    </xf>
    <xf numFmtId="3" fontId="25" fillId="8" borderId="14" xfId="3" applyNumberFormat="1" applyFont="1" applyFill="1" applyBorder="1" applyAlignment="1">
      <alignment horizontal="center" vertical="center"/>
    </xf>
    <xf numFmtId="3" fontId="25" fillId="8" borderId="15" xfId="3" applyNumberFormat="1" applyFont="1" applyFill="1" applyBorder="1" applyAlignment="1">
      <alignment horizontal="center" vertical="center"/>
    </xf>
    <xf numFmtId="3" fontId="25" fillId="8" borderId="19" xfId="3" applyNumberFormat="1" applyFont="1" applyFill="1" applyBorder="1" applyAlignment="1">
      <alignment horizontal="center" vertical="center"/>
    </xf>
    <xf numFmtId="3" fontId="23" fillId="6" borderId="14" xfId="0" applyNumberFormat="1" applyFont="1" applyFill="1" applyBorder="1" applyAlignment="1">
      <alignment horizontal="center" vertical="center"/>
    </xf>
    <xf numFmtId="3" fontId="25" fillId="8" borderId="8" xfId="3" applyNumberFormat="1" applyFont="1" applyFill="1" applyBorder="1" applyAlignment="1">
      <alignment horizontal="center" vertical="center"/>
    </xf>
    <xf numFmtId="3" fontId="25" fillId="8" borderId="9" xfId="3" applyNumberFormat="1" applyFont="1" applyFill="1" applyBorder="1" applyAlignment="1">
      <alignment horizontal="center" vertical="center"/>
    </xf>
    <xf numFmtId="3" fontId="25" fillId="8" borderId="10" xfId="3" applyNumberFormat="1" applyFont="1" applyFill="1" applyBorder="1" applyAlignment="1">
      <alignment horizontal="center" vertical="center"/>
    </xf>
    <xf numFmtId="0" fontId="20" fillId="13" borderId="13" xfId="10" applyFont="1" applyFill="1" applyBorder="1" applyAlignment="1">
      <alignment horizontal="center" vertical="center" wrapText="1"/>
    </xf>
    <xf numFmtId="165" fontId="20" fillId="13" borderId="11" xfId="3" applyNumberFormat="1" applyFont="1" applyFill="1" applyBorder="1" applyAlignment="1">
      <alignment horizontal="center" vertical="center" wrapText="1"/>
    </xf>
    <xf numFmtId="3" fontId="23" fillId="13" borderId="11" xfId="10" applyNumberFormat="1" applyFont="1" applyFill="1" applyBorder="1" applyAlignment="1">
      <alignment horizontal="right"/>
    </xf>
    <xf numFmtId="10" fontId="25" fillId="8" borderId="11" xfId="3" applyNumberFormat="1" applyFont="1" applyFill="1" applyBorder="1" applyAlignment="1">
      <alignment horizontal="center"/>
    </xf>
    <xf numFmtId="3" fontId="20" fillId="9" borderId="5" xfId="10" applyNumberFormat="1" applyFont="1" applyFill="1" applyBorder="1" applyAlignment="1">
      <alignment horizontal="right"/>
    </xf>
    <xf numFmtId="165" fontId="25" fillId="8" borderId="6" xfId="3" applyNumberFormat="1" applyFont="1" applyFill="1" applyBorder="1" applyAlignment="1">
      <alignment horizontal="center"/>
    </xf>
    <xf numFmtId="165" fontId="25" fillId="8" borderId="5" xfId="3" applyNumberFormat="1" applyFont="1" applyFill="1" applyBorder="1" applyAlignment="1">
      <alignment horizontal="center"/>
    </xf>
    <xf numFmtId="165" fontId="25" fillId="8" borderId="17" xfId="3" applyNumberFormat="1" applyFont="1" applyFill="1" applyBorder="1" applyAlignment="1">
      <alignment horizontal="center"/>
    </xf>
    <xf numFmtId="3" fontId="20" fillId="9" borderId="7" xfId="10" applyNumberFormat="1" applyFont="1" applyFill="1" applyBorder="1" applyAlignment="1">
      <alignment horizontal="right"/>
    </xf>
    <xf numFmtId="165" fontId="25" fillId="8" borderId="13" xfId="3" applyNumberFormat="1" applyFont="1" applyFill="1" applyBorder="1" applyAlignment="1">
      <alignment horizontal="center"/>
    </xf>
    <xf numFmtId="165" fontId="25" fillId="8" borderId="0" xfId="3" applyNumberFormat="1" applyFont="1" applyFill="1" applyBorder="1" applyAlignment="1">
      <alignment horizontal="center"/>
    </xf>
    <xf numFmtId="165" fontId="25" fillId="8" borderId="7" xfId="3" applyNumberFormat="1" applyFont="1" applyFill="1" applyBorder="1" applyAlignment="1">
      <alignment horizontal="center"/>
    </xf>
    <xf numFmtId="165" fontId="25" fillId="8" borderId="18" xfId="3" applyNumberFormat="1" applyFont="1" applyFill="1" applyBorder="1" applyAlignment="1">
      <alignment horizontal="center"/>
    </xf>
    <xf numFmtId="3" fontId="20" fillId="9" borderId="14" xfId="10" applyNumberFormat="1" applyFont="1" applyFill="1" applyBorder="1" applyAlignment="1">
      <alignment horizontal="right"/>
    </xf>
    <xf numFmtId="165" fontId="25" fillId="8" borderId="16" xfId="3" applyNumberFormat="1" applyFont="1" applyFill="1" applyBorder="1" applyAlignment="1">
      <alignment horizontal="center"/>
    </xf>
    <xf numFmtId="165" fontId="25" fillId="8" borderId="15" xfId="3" applyNumberFormat="1" applyFont="1" applyFill="1" applyBorder="1" applyAlignment="1">
      <alignment horizontal="center"/>
    </xf>
    <xf numFmtId="165" fontId="25" fillId="8" borderId="14" xfId="3" applyNumberFormat="1" applyFont="1" applyFill="1" applyBorder="1" applyAlignment="1">
      <alignment horizontal="center"/>
    </xf>
    <xf numFmtId="165" fontId="25" fillId="8" borderId="19" xfId="3" applyNumberFormat="1" applyFont="1" applyFill="1" applyBorder="1" applyAlignment="1">
      <alignment horizontal="center"/>
    </xf>
    <xf numFmtId="3" fontId="20" fillId="0" borderId="0" xfId="10" applyNumberFormat="1" applyFont="1" applyFill="1" applyBorder="1" applyAlignment="1">
      <alignment horizontal="right"/>
    </xf>
    <xf numFmtId="3" fontId="20" fillId="0" borderId="0" xfId="10" applyNumberFormat="1" applyFont="1" applyFill="1" applyBorder="1" applyAlignment="1">
      <alignment horizontal="left"/>
    </xf>
    <xf numFmtId="3" fontId="24" fillId="0" borderId="0" xfId="10" applyNumberFormat="1" applyFont="1" applyBorder="1" applyAlignment="1">
      <alignment horizontal="right"/>
    </xf>
    <xf numFmtId="165" fontId="25" fillId="8" borderId="8" xfId="3" applyNumberFormat="1" applyFont="1" applyFill="1" applyBorder="1" applyAlignment="1">
      <alignment horizontal="center"/>
    </xf>
    <xf numFmtId="165" fontId="25" fillId="8" borderId="9" xfId="3" applyNumberFormat="1" applyFont="1" applyFill="1" applyBorder="1" applyAlignment="1">
      <alignment horizontal="center"/>
    </xf>
    <xf numFmtId="165" fontId="25" fillId="8" borderId="10" xfId="3" applyNumberFormat="1" applyFont="1" applyFill="1" applyBorder="1" applyAlignment="1">
      <alignment horizontal="center"/>
    </xf>
    <xf numFmtId="3" fontId="23" fillId="13" borderId="12" xfId="10" applyNumberFormat="1" applyFont="1" applyFill="1" applyBorder="1" applyAlignment="1">
      <alignment horizontal="right"/>
    </xf>
    <xf numFmtId="3" fontId="23" fillId="0" borderId="0" xfId="10" applyNumberFormat="1" applyFont="1" applyBorder="1" applyAlignment="1">
      <alignment horizontal="right"/>
    </xf>
    <xf numFmtId="3" fontId="23" fillId="13" borderId="11" xfId="10" applyNumberFormat="1" applyFont="1" applyFill="1" applyBorder="1" applyAlignment="1">
      <alignment horizontal="right" wrapText="1"/>
    </xf>
    <xf numFmtId="3" fontId="20" fillId="0" borderId="0" xfId="10" applyNumberFormat="1" applyFont="1" applyBorder="1" applyAlignment="1">
      <alignment horizontal="right"/>
    </xf>
    <xf numFmtId="0" fontId="26" fillId="2" borderId="11" xfId="0" applyFont="1" applyFill="1" applyBorder="1" applyAlignment="1">
      <alignment vertical="center" wrapText="1"/>
    </xf>
    <xf numFmtId="3" fontId="26" fillId="2" borderId="8" xfId="0" applyNumberFormat="1" applyFont="1" applyFill="1" applyBorder="1" applyAlignment="1">
      <alignment horizontal="center" vertical="center" wrapText="1"/>
    </xf>
    <xf numFmtId="3" fontId="26" fillId="2" borderId="9" xfId="0" applyNumberFormat="1" applyFont="1" applyFill="1" applyBorder="1" applyAlignment="1">
      <alignment horizontal="center" vertical="center" wrapText="1"/>
    </xf>
    <xf numFmtId="3" fontId="26" fillId="2" borderId="10" xfId="0" applyNumberFormat="1" applyFont="1" applyFill="1" applyBorder="1" applyAlignment="1">
      <alignment horizontal="center" vertical="center" wrapText="1"/>
    </xf>
    <xf numFmtId="0" fontId="26" fillId="3" borderId="11" xfId="0" applyFont="1" applyFill="1" applyBorder="1" applyAlignment="1">
      <alignment horizontal="right" vertical="center" wrapText="1"/>
    </xf>
    <xf numFmtId="0" fontId="26" fillId="3" borderId="11" xfId="0" applyFont="1" applyFill="1" applyBorder="1" applyAlignment="1">
      <alignment vertical="center" wrapText="1"/>
    </xf>
    <xf numFmtId="3" fontId="26" fillId="3" borderId="8" xfId="0" applyNumberFormat="1" applyFont="1" applyFill="1" applyBorder="1" applyAlignment="1">
      <alignment horizontal="center" vertical="center" wrapText="1"/>
    </xf>
    <xf numFmtId="3" fontId="26" fillId="3" borderId="9" xfId="0" applyNumberFormat="1" applyFont="1" applyFill="1" applyBorder="1" applyAlignment="1">
      <alignment horizontal="center" vertical="center" wrapText="1"/>
    </xf>
    <xf numFmtId="3" fontId="26" fillId="3" borderId="10" xfId="0" applyNumberFormat="1" applyFont="1" applyFill="1" applyBorder="1" applyAlignment="1">
      <alignment horizontal="center" vertical="center" wrapText="1"/>
    </xf>
    <xf numFmtId="0" fontId="26" fillId="2" borderId="9" xfId="0" applyFont="1" applyFill="1" applyBorder="1" applyAlignment="1">
      <alignment vertical="center" wrapText="1"/>
    </xf>
    <xf numFmtId="3" fontId="25" fillId="13" borderId="8" xfId="3" applyNumberFormat="1" applyFont="1" applyFill="1" applyBorder="1" applyAlignment="1">
      <alignment horizontal="center"/>
    </xf>
    <xf numFmtId="3" fontId="25" fillId="13" borderId="9" xfId="3" applyNumberFormat="1" applyFont="1" applyFill="1" applyBorder="1" applyAlignment="1">
      <alignment horizontal="center"/>
    </xf>
    <xf numFmtId="3" fontId="25" fillId="13" borderId="10" xfId="3" applyNumberFormat="1" applyFont="1" applyFill="1" applyBorder="1" applyAlignment="1">
      <alignment horizontal="center"/>
    </xf>
    <xf numFmtId="0" fontId="23" fillId="11" borderId="8" xfId="1" applyFont="1" applyFill="1" applyBorder="1" applyAlignment="1">
      <alignment horizontal="right" wrapText="1"/>
    </xf>
    <xf numFmtId="0" fontId="20" fillId="11" borderId="11" xfId="10" applyFont="1" applyFill="1" applyBorder="1"/>
    <xf numFmtId="3" fontId="20" fillId="11" borderId="8" xfId="10" applyNumberFormat="1" applyFont="1" applyFill="1" applyBorder="1" applyAlignment="1">
      <alignment horizontal="center"/>
    </xf>
    <xf numFmtId="3" fontId="20" fillId="11" borderId="9" xfId="10" applyNumberFormat="1" applyFont="1" applyFill="1" applyBorder="1" applyAlignment="1">
      <alignment horizontal="center"/>
    </xf>
    <xf numFmtId="3" fontId="20" fillId="11" borderId="10" xfId="10" applyNumberFormat="1" applyFont="1" applyFill="1" applyBorder="1" applyAlignment="1">
      <alignment horizontal="center"/>
    </xf>
    <xf numFmtId="0" fontId="27" fillId="2" borderId="20" xfId="0" applyFont="1" applyFill="1" applyBorder="1" applyAlignment="1">
      <alignment horizontal="right" vertical="center" wrapText="1"/>
    </xf>
    <xf numFmtId="3" fontId="20" fillId="13" borderId="8" xfId="10" applyNumberFormat="1" applyFont="1" applyFill="1" applyBorder="1" applyAlignment="1">
      <alignment horizontal="center"/>
    </xf>
    <xf numFmtId="3" fontId="20" fillId="13" borderId="9" xfId="10" applyNumberFormat="1" applyFont="1" applyFill="1" applyBorder="1" applyAlignment="1">
      <alignment horizontal="center"/>
    </xf>
    <xf numFmtId="3" fontId="20" fillId="13" borderId="10" xfId="10" applyNumberFormat="1" applyFont="1" applyFill="1" applyBorder="1" applyAlignment="1">
      <alignment horizontal="center"/>
    </xf>
    <xf numFmtId="0" fontId="27" fillId="2" borderId="3" xfId="0" applyFont="1" applyFill="1" applyBorder="1" applyAlignment="1">
      <alignment horizontal="right" vertical="center" wrapText="1"/>
    </xf>
    <xf numFmtId="3" fontId="23" fillId="6" borderId="11" xfId="10" applyNumberFormat="1" applyFont="1" applyFill="1" applyBorder="1" applyAlignment="1">
      <alignment horizontal="right"/>
    </xf>
    <xf numFmtId="0" fontId="26" fillId="2" borderId="0" xfId="0" applyFont="1" applyFill="1" applyBorder="1" applyAlignment="1">
      <alignment vertical="center" wrapText="1"/>
    </xf>
    <xf numFmtId="0" fontId="27" fillId="2" borderId="0" xfId="0" applyFont="1" applyFill="1" applyBorder="1" applyAlignment="1">
      <alignment vertical="center" wrapText="1"/>
    </xf>
    <xf numFmtId="3" fontId="27" fillId="2" borderId="8" xfId="0" applyNumberFormat="1"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1" fillId="11" borderId="8" xfId="10" applyFont="1" applyFill="1" applyBorder="1" applyAlignment="1">
      <alignment horizontal="right"/>
    </xf>
    <xf numFmtId="0" fontId="21" fillId="11" borderId="9" xfId="10" applyFont="1" applyFill="1" applyBorder="1" applyAlignment="1"/>
    <xf numFmtId="0" fontId="41" fillId="32" borderId="11" xfId="1" applyFont="1" applyFill="1" applyBorder="1" applyAlignment="1">
      <alignment horizontal="right"/>
    </xf>
    <xf numFmtId="0" fontId="23" fillId="32" borderId="9" xfId="1" applyFont="1" applyFill="1" applyBorder="1" applyAlignment="1"/>
    <xf numFmtId="0" fontId="42" fillId="0" borderId="0" xfId="1" applyFont="1" applyFill="1" applyBorder="1" applyAlignment="1">
      <alignment horizontal="center"/>
    </xf>
    <xf numFmtId="0" fontId="23" fillId="11" borderId="12" xfId="1" applyFont="1" applyFill="1" applyBorder="1" applyAlignment="1">
      <alignment horizontal="right"/>
    </xf>
    <xf numFmtId="0" fontId="23" fillId="11" borderId="12" xfId="1" applyFont="1" applyFill="1" applyBorder="1" applyAlignment="1">
      <alignment horizontal="center"/>
    </xf>
    <xf numFmtId="0" fontId="23" fillId="11" borderId="17" xfId="1" applyFont="1" applyFill="1" applyBorder="1" applyAlignment="1">
      <alignment horizontal="center"/>
    </xf>
    <xf numFmtId="0" fontId="23" fillId="11" borderId="12" xfId="1" applyFont="1" applyFill="1" applyBorder="1"/>
    <xf numFmtId="0" fontId="23" fillId="11" borderId="11" xfId="1" applyFont="1" applyFill="1" applyBorder="1"/>
    <xf numFmtId="3" fontId="23" fillId="6" borderId="5" xfId="1" applyNumberFormat="1" applyFont="1" applyFill="1" applyBorder="1" applyAlignment="1">
      <alignment horizontal="center"/>
    </xf>
    <xf numFmtId="3" fontId="20" fillId="14" borderId="12" xfId="2" applyNumberFormat="1" applyFont="1" applyFill="1" applyBorder="1" applyAlignment="1">
      <alignment horizontal="center" wrapText="1"/>
    </xf>
    <xf numFmtId="3" fontId="23" fillId="6" borderId="7" xfId="1" applyNumberFormat="1" applyFont="1" applyFill="1" applyBorder="1" applyAlignment="1">
      <alignment horizontal="center"/>
    </xf>
    <xf numFmtId="3" fontId="20" fillId="14" borderId="13" xfId="2" applyNumberFormat="1" applyFont="1" applyFill="1" applyBorder="1" applyAlignment="1">
      <alignment horizontal="center" wrapText="1"/>
    </xf>
    <xf numFmtId="3" fontId="23" fillId="6" borderId="14" xfId="1" applyNumberFormat="1" applyFont="1" applyFill="1" applyBorder="1" applyAlignment="1">
      <alignment horizontal="center"/>
    </xf>
    <xf numFmtId="3" fontId="20" fillId="14" borderId="16" xfId="2" applyNumberFormat="1" applyFont="1" applyFill="1" applyBorder="1" applyAlignment="1">
      <alignment horizontal="center" wrapText="1"/>
    </xf>
    <xf numFmtId="1" fontId="20" fillId="0" borderId="11" xfId="2" applyNumberFormat="1" applyFont="1" applyFill="1" applyBorder="1" applyAlignment="1">
      <alignment horizontal="right" wrapText="1"/>
    </xf>
    <xf numFmtId="1" fontId="20" fillId="0" borderId="0" xfId="2" applyNumberFormat="1" applyFont="1" applyFill="1" applyBorder="1" applyAlignment="1">
      <alignment horizontal="center" wrapText="1"/>
    </xf>
    <xf numFmtId="3" fontId="23" fillId="6" borderId="8" xfId="1" applyNumberFormat="1" applyFont="1" applyFill="1" applyBorder="1" applyAlignment="1">
      <alignment horizontal="center" vertical="center"/>
    </xf>
    <xf numFmtId="1" fontId="23" fillId="14" borderId="8" xfId="2" applyNumberFormat="1" applyFont="1" applyFill="1" applyBorder="1" applyAlignment="1">
      <alignment horizontal="center" vertical="center" wrapText="1"/>
    </xf>
    <xf numFmtId="0" fontId="23" fillId="11" borderId="11" xfId="1" applyFont="1" applyFill="1" applyBorder="1" applyAlignment="1">
      <alignment horizontal="right"/>
    </xf>
    <xf numFmtId="1" fontId="20" fillId="11" borderId="11" xfId="2" applyNumberFormat="1" applyFont="1" applyFill="1" applyBorder="1" applyAlignment="1">
      <alignment horizontal="center" wrapText="1"/>
    </xf>
    <xf numFmtId="1" fontId="20" fillId="14" borderId="12" xfId="2" applyNumberFormat="1" applyFont="1" applyFill="1" applyBorder="1" applyAlignment="1">
      <alignment horizontal="center" wrapText="1"/>
    </xf>
    <xf numFmtId="1" fontId="20" fillId="14" borderId="13" xfId="2" applyNumberFormat="1" applyFont="1" applyFill="1" applyBorder="1" applyAlignment="1">
      <alignment horizontal="center" wrapText="1"/>
    </xf>
    <xf numFmtId="1" fontId="20" fillId="14" borderId="16" xfId="2" applyNumberFormat="1" applyFont="1" applyFill="1" applyBorder="1" applyAlignment="1">
      <alignment horizontal="center" wrapText="1"/>
    </xf>
    <xf numFmtId="0" fontId="23" fillId="13" borderId="11" xfId="0" applyFont="1" applyFill="1" applyBorder="1" applyAlignment="1">
      <alignment horizontal="center"/>
    </xf>
    <xf numFmtId="0" fontId="20" fillId="13" borderId="13" xfId="0" applyFont="1" applyFill="1" applyBorder="1" applyAlignment="1">
      <alignment horizontal="center" wrapText="1"/>
    </xf>
    <xf numFmtId="0" fontId="38" fillId="31" borderId="10" xfId="1" applyFont="1" applyFill="1" applyBorder="1" applyAlignment="1"/>
    <xf numFmtId="0" fontId="21" fillId="31" borderId="10" xfId="1" applyFont="1" applyFill="1" applyBorder="1" applyAlignment="1"/>
    <xf numFmtId="3" fontId="20" fillId="14" borderId="11" xfId="1" applyNumberFormat="1" applyFont="1" applyFill="1" applyBorder="1" applyAlignment="1">
      <alignment horizontal="center"/>
    </xf>
    <xf numFmtId="165" fontId="23" fillId="13" borderId="14" xfId="3" applyNumberFormat="1" applyFont="1" applyFill="1" applyBorder="1" applyAlignment="1">
      <alignment horizontal="right" vertical="center" wrapText="1"/>
    </xf>
    <xf numFmtId="3" fontId="20" fillId="17" borderId="42" xfId="1" applyNumberFormat="1" applyFont="1" applyFill="1" applyBorder="1" applyAlignment="1">
      <alignment horizontal="right" vertical="center" wrapText="1"/>
    </xf>
    <xf numFmtId="3" fontId="23" fillId="6" borderId="12" xfId="10" applyNumberFormat="1" applyFont="1" applyFill="1" applyBorder="1" applyAlignment="1">
      <alignment horizontal="center" vertical="center"/>
    </xf>
    <xf numFmtId="3" fontId="23" fillId="6" borderId="13" xfId="10" applyNumberFormat="1" applyFont="1" applyFill="1" applyBorder="1" applyAlignment="1">
      <alignment horizontal="center" vertical="center"/>
    </xf>
    <xf numFmtId="3" fontId="23" fillId="6" borderId="16" xfId="10" applyNumberFormat="1" applyFont="1" applyFill="1" applyBorder="1" applyAlignment="1">
      <alignment horizontal="center" vertical="center"/>
    </xf>
    <xf numFmtId="165" fontId="23" fillId="13" borderId="13" xfId="3" applyNumberFormat="1" applyFont="1" applyFill="1" applyBorder="1" applyAlignment="1">
      <alignment horizontal="center" vertical="center"/>
    </xf>
    <xf numFmtId="165" fontId="43" fillId="35" borderId="12" xfId="18" applyNumberFormat="1" applyBorder="1" applyAlignment="1">
      <alignment horizontal="center" wrapText="1"/>
    </xf>
    <xf numFmtId="165" fontId="43" fillId="35" borderId="16" xfId="18" applyNumberFormat="1" applyBorder="1" applyAlignment="1">
      <alignment horizontal="center"/>
    </xf>
    <xf numFmtId="3" fontId="20" fillId="9" borderId="7" xfId="0" applyNumberFormat="1" applyFont="1" applyFill="1" applyBorder="1" applyAlignment="1">
      <alignment horizontal="right"/>
    </xf>
    <xf numFmtId="3" fontId="20" fillId="9" borderId="14" xfId="0" applyNumberFormat="1" applyFont="1" applyFill="1" applyBorder="1" applyAlignment="1">
      <alignment horizontal="right"/>
    </xf>
    <xf numFmtId="3" fontId="20" fillId="9" borderId="7" xfId="0" applyNumberFormat="1" applyFont="1" applyFill="1" applyBorder="1" applyAlignment="1">
      <alignment horizontal="right"/>
    </xf>
    <xf numFmtId="3" fontId="20" fillId="9" borderId="14" xfId="0" applyNumberFormat="1" applyFont="1" applyFill="1" applyBorder="1" applyAlignment="1">
      <alignment horizontal="right"/>
    </xf>
    <xf numFmtId="0" fontId="27" fillId="2" borderId="11" xfId="0" applyFont="1" applyFill="1" applyBorder="1" applyAlignment="1">
      <alignment horizontal="right" vertical="center" wrapText="1"/>
    </xf>
    <xf numFmtId="3" fontId="20" fillId="9" borderId="18" xfId="0" applyNumberFormat="1" applyFont="1" applyFill="1" applyBorder="1" applyAlignment="1">
      <alignment horizontal="right"/>
    </xf>
    <xf numFmtId="3" fontId="20" fillId="9" borderId="19" xfId="0" applyNumberFormat="1" applyFont="1" applyFill="1" applyBorder="1" applyAlignment="1">
      <alignment horizontal="right"/>
    </xf>
    <xf numFmtId="3" fontId="25" fillId="10" borderId="5" xfId="0" applyNumberFormat="1" applyFont="1" applyFill="1" applyBorder="1" applyAlignment="1">
      <alignment horizontal="center"/>
    </xf>
    <xf numFmtId="3" fontId="25" fillId="10" borderId="6" xfId="0" applyNumberFormat="1" applyFont="1" applyFill="1" applyBorder="1" applyAlignment="1">
      <alignment horizontal="center"/>
    </xf>
    <xf numFmtId="3" fontId="25" fillId="10" borderId="17" xfId="0" applyNumberFormat="1" applyFont="1" applyFill="1" applyBorder="1" applyAlignment="1">
      <alignment horizontal="center"/>
    </xf>
    <xf numFmtId="3" fontId="25" fillId="10" borderId="7" xfId="0" applyNumberFormat="1" applyFont="1" applyFill="1" applyBorder="1" applyAlignment="1">
      <alignment horizontal="center"/>
    </xf>
    <xf numFmtId="3" fontId="25" fillId="10" borderId="18" xfId="0" applyNumberFormat="1" applyFont="1" applyFill="1" applyBorder="1" applyAlignment="1">
      <alignment horizontal="center"/>
    </xf>
    <xf numFmtId="3" fontId="25" fillId="10" borderId="14" xfId="0" applyNumberFormat="1" applyFont="1" applyFill="1" applyBorder="1" applyAlignment="1">
      <alignment horizontal="center"/>
    </xf>
    <xf numFmtId="3" fontId="25" fillId="10" borderId="15" xfId="0" applyNumberFormat="1" applyFont="1" applyFill="1" applyBorder="1" applyAlignment="1">
      <alignment horizontal="center"/>
    </xf>
    <xf numFmtId="3" fontId="25" fillId="10" borderId="19" xfId="0" applyNumberFormat="1" applyFont="1" applyFill="1" applyBorder="1" applyAlignment="1">
      <alignment horizontal="center"/>
    </xf>
    <xf numFmtId="3" fontId="28" fillId="10" borderId="7" xfId="0" applyNumberFormat="1" applyFont="1" applyFill="1" applyBorder="1" applyAlignment="1">
      <alignment horizontal="right"/>
    </xf>
    <xf numFmtId="3" fontId="28" fillId="10" borderId="18" xfId="0" applyNumberFormat="1" applyFont="1" applyFill="1" applyBorder="1" applyAlignment="1">
      <alignment horizontal="right"/>
    </xf>
    <xf numFmtId="3" fontId="28" fillId="10" borderId="14" xfId="0" applyNumberFormat="1" applyFont="1" applyFill="1" applyBorder="1" applyAlignment="1">
      <alignment horizontal="right"/>
    </xf>
    <xf numFmtId="3" fontId="28" fillId="10" borderId="15" xfId="0" applyNumberFormat="1" applyFont="1" applyFill="1" applyBorder="1" applyAlignment="1">
      <alignment horizontal="right"/>
    </xf>
    <xf numFmtId="3" fontId="28" fillId="10" borderId="19" xfId="0" applyNumberFormat="1" applyFont="1" applyFill="1" applyBorder="1" applyAlignment="1">
      <alignment horizontal="right"/>
    </xf>
    <xf numFmtId="165" fontId="23" fillId="8" borderId="5" xfId="3" applyNumberFormat="1" applyFont="1" applyFill="1" applyBorder="1" applyAlignment="1">
      <alignment horizontal="center" vertical="center" wrapText="1"/>
    </xf>
    <xf numFmtId="165" fontId="21" fillId="18" borderId="11" xfId="3" applyNumberFormat="1" applyFont="1" applyFill="1" applyBorder="1" applyAlignment="1">
      <alignment horizontal="center" vertical="center" wrapText="1"/>
    </xf>
    <xf numFmtId="0" fontId="23" fillId="32" borderId="10" xfId="1" applyFont="1" applyFill="1" applyBorder="1" applyAlignment="1"/>
    <xf numFmtId="1" fontId="23" fillId="14" borderId="11" xfId="2" applyNumberFormat="1" applyFont="1" applyFill="1" applyBorder="1" applyAlignment="1">
      <alignment horizontal="center" vertical="center" wrapText="1"/>
    </xf>
    <xf numFmtId="0" fontId="44" fillId="0" borderId="0" xfId="1" applyFont="1"/>
    <xf numFmtId="14" fontId="30" fillId="0" borderId="0" xfId="1" applyNumberFormat="1" applyFont="1" applyAlignment="1">
      <alignment horizontal="right"/>
    </xf>
    <xf numFmtId="165" fontId="25" fillId="8" borderId="11" xfId="3" applyNumberFormat="1" applyFont="1" applyFill="1" applyBorder="1" applyAlignment="1" applyProtection="1">
      <alignment horizontal="center"/>
      <protection locked="0"/>
    </xf>
    <xf numFmtId="9" fontId="20" fillId="7" borderId="5" xfId="3" applyNumberFormat="1" applyFont="1" applyFill="1" applyBorder="1" applyAlignment="1">
      <alignment horizontal="center"/>
    </xf>
    <xf numFmtId="9" fontId="20" fillId="7" borderId="7" xfId="3" applyNumberFormat="1" applyFont="1" applyFill="1" applyBorder="1" applyAlignment="1">
      <alignment horizontal="center"/>
    </xf>
    <xf numFmtId="9" fontId="20" fillId="7" borderId="14" xfId="3" applyNumberFormat="1" applyFont="1" applyFill="1" applyBorder="1" applyAlignment="1">
      <alignment horizontal="center"/>
    </xf>
    <xf numFmtId="3" fontId="20" fillId="9" borderId="16" xfId="10" applyNumberFormat="1" applyFont="1" applyFill="1" applyBorder="1" applyAlignment="1">
      <alignment horizontal="right"/>
    </xf>
    <xf numFmtId="3" fontId="22" fillId="36" borderId="8" xfId="3" applyNumberFormat="1" applyFont="1" applyFill="1" applyBorder="1" applyAlignment="1">
      <alignment horizontal="center" wrapText="1"/>
    </xf>
    <xf numFmtId="3" fontId="22" fillId="36" borderId="9" xfId="3" applyNumberFormat="1" applyFont="1" applyFill="1" applyBorder="1" applyAlignment="1">
      <alignment horizontal="center" wrapText="1"/>
    </xf>
    <xf numFmtId="3" fontId="22" fillId="36" borderId="10" xfId="3" applyNumberFormat="1" applyFont="1" applyFill="1" applyBorder="1" applyAlignment="1">
      <alignment horizontal="center" wrapText="1"/>
    </xf>
    <xf numFmtId="0" fontId="26" fillId="2" borderId="0" xfId="0" applyFont="1" applyFill="1" applyBorder="1" applyAlignment="1">
      <alignment horizontal="right" vertical="center" wrapText="1"/>
    </xf>
    <xf numFmtId="165" fontId="23" fillId="11" borderId="12" xfId="3" applyNumberFormat="1" applyFont="1" applyFill="1" applyBorder="1" applyAlignment="1">
      <alignment horizontal="center" vertical="center" wrapText="1"/>
    </xf>
    <xf numFmtId="165" fontId="23" fillId="18" borderId="12" xfId="3" applyNumberFormat="1" applyFont="1" applyFill="1" applyBorder="1" applyAlignment="1">
      <alignment horizontal="center" vertical="center" wrapText="1"/>
    </xf>
    <xf numFmtId="3" fontId="20" fillId="17" borderId="16" xfId="1" applyNumberFormat="1" applyFont="1" applyFill="1" applyBorder="1" applyAlignment="1">
      <alignment horizontal="right" vertical="center" wrapText="1" readingOrder="2"/>
    </xf>
    <xf numFmtId="3" fontId="23" fillId="6" borderId="11" xfId="10" applyNumberFormat="1" applyFont="1" applyFill="1" applyBorder="1" applyAlignment="1">
      <alignment horizontal="center" vertical="center"/>
    </xf>
    <xf numFmtId="3" fontId="23" fillId="8" borderId="11" xfId="3" applyNumberFormat="1" applyFont="1" applyFill="1" applyBorder="1" applyAlignment="1">
      <alignment horizontal="center" vertical="center" wrapText="1"/>
    </xf>
    <xf numFmtId="0" fontId="23" fillId="36" borderId="32" xfId="0" applyFont="1" applyFill="1" applyBorder="1" applyAlignment="1">
      <alignment horizontal="center" vertical="center" wrapText="1"/>
    </xf>
    <xf numFmtId="3" fontId="20" fillId="36" borderId="32" xfId="0" applyNumberFormat="1" applyFont="1" applyFill="1" applyBorder="1" applyAlignment="1">
      <alignment horizontal="right"/>
    </xf>
    <xf numFmtId="3" fontId="20" fillId="36" borderId="34" xfId="0" applyNumberFormat="1" applyFont="1" applyFill="1" applyBorder="1" applyAlignment="1">
      <alignment horizontal="right"/>
    </xf>
    <xf numFmtId="3" fontId="20" fillId="36" borderId="36" xfId="0" applyNumberFormat="1" applyFont="1" applyFill="1" applyBorder="1" applyAlignment="1">
      <alignment horizontal="right"/>
    </xf>
    <xf numFmtId="0" fontId="23" fillId="36" borderId="12" xfId="0" applyFont="1" applyFill="1" applyBorder="1" applyAlignment="1">
      <alignment horizontal="center" vertical="center" wrapText="1"/>
    </xf>
    <xf numFmtId="3" fontId="28" fillId="36" borderId="15" xfId="0" applyNumberFormat="1" applyFont="1" applyFill="1" applyBorder="1" applyAlignment="1">
      <alignment horizontal="center"/>
    </xf>
    <xf numFmtId="165" fontId="23" fillId="13" borderId="16" xfId="3" applyNumberFormat="1" applyFont="1" applyFill="1" applyBorder="1" applyAlignment="1">
      <alignment horizontal="center"/>
    </xf>
    <xf numFmtId="0" fontId="20" fillId="13" borderId="8" xfId="1" applyFont="1" applyFill="1" applyBorder="1" applyAlignment="1"/>
    <xf numFmtId="0" fontId="20" fillId="13" borderId="9" xfId="1" applyFont="1" applyFill="1" applyBorder="1" applyAlignment="1"/>
    <xf numFmtId="0" fontId="20" fillId="13" borderId="10" xfId="1" applyFont="1" applyFill="1" applyBorder="1" applyAlignment="1"/>
    <xf numFmtId="3" fontId="23" fillId="4" borderId="9" xfId="1" applyNumberFormat="1" applyFont="1" applyFill="1" applyBorder="1" applyAlignment="1">
      <alignment vertical="center"/>
    </xf>
    <xf numFmtId="3" fontId="23" fillId="4" borderId="10" xfId="1" applyNumberFormat="1" applyFont="1" applyFill="1" applyBorder="1" applyAlignment="1">
      <alignment vertical="center"/>
    </xf>
    <xf numFmtId="1" fontId="23" fillId="6" borderId="16" xfId="2" applyNumberFormat="1" applyFont="1" applyFill="1" applyBorder="1" applyAlignment="1">
      <alignment horizontal="center"/>
    </xf>
    <xf numFmtId="3" fontId="23" fillId="6" borderId="13" xfId="1" applyNumberFormat="1" applyFont="1" applyFill="1" applyBorder="1" applyAlignment="1">
      <alignment horizontal="center" vertical="center"/>
    </xf>
    <xf numFmtId="3" fontId="23" fillId="6" borderId="16" xfId="1" applyNumberFormat="1" applyFont="1" applyFill="1" applyBorder="1" applyAlignment="1">
      <alignment horizontal="center" vertical="center"/>
    </xf>
    <xf numFmtId="3" fontId="25" fillId="17" borderId="7" xfId="1" applyNumberFormat="1" applyFont="1" applyFill="1" applyBorder="1" applyAlignment="1">
      <alignment horizontal="center" vertical="center"/>
    </xf>
    <xf numFmtId="3" fontId="20" fillId="17" borderId="0" xfId="1" applyNumberFormat="1" applyFont="1" applyFill="1" applyBorder="1" applyAlignment="1">
      <alignment horizontal="center" vertical="center"/>
    </xf>
    <xf numFmtId="3" fontId="20" fillId="17" borderId="18" xfId="1" applyNumberFormat="1" applyFont="1" applyFill="1" applyBorder="1" applyAlignment="1">
      <alignment horizontal="center" vertical="center"/>
    </xf>
    <xf numFmtId="3" fontId="20" fillId="17" borderId="7" xfId="1" applyNumberFormat="1" applyFont="1" applyFill="1" applyBorder="1" applyAlignment="1">
      <alignment horizontal="center" vertical="center"/>
    </xf>
    <xf numFmtId="3" fontId="20" fillId="17" borderId="14" xfId="1" applyNumberFormat="1" applyFont="1" applyFill="1" applyBorder="1" applyAlignment="1">
      <alignment horizontal="center" vertical="center"/>
    </xf>
    <xf numFmtId="3" fontId="20" fillId="17" borderId="15" xfId="1" applyNumberFormat="1" applyFont="1" applyFill="1" applyBorder="1" applyAlignment="1">
      <alignment horizontal="center" vertical="center"/>
    </xf>
    <xf numFmtId="3" fontId="20" fillId="17" borderId="19" xfId="1" applyNumberFormat="1" applyFont="1" applyFill="1" applyBorder="1" applyAlignment="1">
      <alignment horizontal="center" vertical="center"/>
    </xf>
    <xf numFmtId="3" fontId="20" fillId="9" borderId="19" xfId="1" applyNumberFormat="1" applyFont="1" applyFill="1" applyBorder="1" applyAlignment="1">
      <alignment horizontal="right"/>
    </xf>
    <xf numFmtId="3" fontId="20" fillId="10" borderId="5" xfId="0" applyNumberFormat="1" applyFont="1" applyFill="1" applyBorder="1" applyAlignment="1">
      <alignment horizontal="center"/>
    </xf>
    <xf numFmtId="3" fontId="20" fillId="10" borderId="6" xfId="0" applyNumberFormat="1" applyFont="1" applyFill="1" applyBorder="1" applyAlignment="1">
      <alignment horizontal="center"/>
    </xf>
    <xf numFmtId="3" fontId="20" fillId="10" borderId="17" xfId="0" applyNumberFormat="1" applyFont="1" applyFill="1" applyBorder="1" applyAlignment="1">
      <alignment horizontal="center"/>
    </xf>
    <xf numFmtId="3" fontId="20" fillId="10" borderId="7" xfId="0" applyNumberFormat="1" applyFont="1" applyFill="1" applyBorder="1" applyAlignment="1">
      <alignment horizontal="center"/>
    </xf>
    <xf numFmtId="3" fontId="20" fillId="10" borderId="0" xfId="0" applyNumberFormat="1" applyFont="1" applyFill="1" applyBorder="1" applyAlignment="1">
      <alignment horizontal="center"/>
    </xf>
    <xf numFmtId="3" fontId="20" fillId="10" borderId="18" xfId="0" applyNumberFormat="1" applyFont="1" applyFill="1" applyBorder="1" applyAlignment="1">
      <alignment horizontal="center"/>
    </xf>
    <xf numFmtId="165" fontId="23" fillId="8" borderId="11" xfId="3" applyNumberFormat="1" applyFont="1" applyFill="1" applyBorder="1" applyAlignment="1">
      <alignment horizontal="center" vertical="center" wrapText="1"/>
    </xf>
    <xf numFmtId="165" fontId="23" fillId="18" borderId="8" xfId="3" applyNumberFormat="1" applyFont="1" applyFill="1" applyBorder="1" applyAlignment="1">
      <alignment horizontal="center" vertical="center" wrapText="1"/>
    </xf>
    <xf numFmtId="165" fontId="45" fillId="35" borderId="13" xfId="18" applyNumberFormat="1" applyFont="1" applyBorder="1" applyAlignment="1">
      <alignment horizontal="center"/>
    </xf>
    <xf numFmtId="3" fontId="20" fillId="0" borderId="0" xfId="1" applyNumberFormat="1" applyFont="1" applyBorder="1" applyAlignment="1">
      <alignment horizontal="right"/>
    </xf>
    <xf numFmtId="3" fontId="20" fillId="9" borderId="18" xfId="1" applyNumberFormat="1" applyFont="1" applyFill="1" applyBorder="1" applyAlignment="1">
      <alignment horizontal="right" wrapText="1" readingOrder="2"/>
    </xf>
    <xf numFmtId="3" fontId="23" fillId="4" borderId="0" xfId="1" applyNumberFormat="1" applyFont="1" applyFill="1" applyBorder="1" applyAlignment="1">
      <alignment vertical="center"/>
    </xf>
    <xf numFmtId="3" fontId="10" fillId="0" borderId="0" xfId="1" applyNumberFormat="1" applyFont="1" applyBorder="1" applyAlignment="1">
      <alignment horizontal="right"/>
    </xf>
    <xf numFmtId="0" fontId="20" fillId="0" borderId="0" xfId="1" applyFont="1" applyAlignment="1">
      <alignment horizontal="center" vertical="center" wrapText="1"/>
    </xf>
    <xf numFmtId="3" fontId="20" fillId="17" borderId="11" xfId="1" applyNumberFormat="1" applyFont="1" applyFill="1" applyBorder="1" applyAlignment="1">
      <alignment horizontal="right" wrapText="1"/>
    </xf>
    <xf numFmtId="0" fontId="23" fillId="11" borderId="32" xfId="1" applyFont="1" applyFill="1" applyBorder="1" applyAlignment="1">
      <alignment vertical="top" wrapText="1"/>
    </xf>
    <xf numFmtId="0" fontId="23" fillId="11" borderId="34" xfId="1" applyFont="1" applyFill="1" applyBorder="1" applyAlignment="1">
      <alignment vertical="top" wrapText="1"/>
    </xf>
    <xf numFmtId="0" fontId="23" fillId="11" borderId="36" xfId="1" applyFont="1" applyFill="1" applyBorder="1" applyAlignment="1">
      <alignment vertical="top" wrapText="1"/>
    </xf>
    <xf numFmtId="0" fontId="23" fillId="11" borderId="38" xfId="1" applyFont="1" applyFill="1" applyBorder="1" applyAlignment="1">
      <alignment vertical="center" wrapText="1"/>
    </xf>
    <xf numFmtId="0" fontId="30" fillId="25" borderId="8" xfId="1" applyFont="1" applyFill="1" applyBorder="1" applyAlignment="1">
      <alignment horizontal="right" vertical="center" wrapText="1"/>
    </xf>
    <xf numFmtId="0" fontId="30" fillId="25" borderId="9" xfId="1" applyFont="1" applyFill="1" applyBorder="1" applyAlignment="1">
      <alignment horizontal="right" vertical="center" wrapText="1"/>
    </xf>
    <xf numFmtId="0" fontId="30" fillId="25" borderId="10" xfId="1" applyFont="1" applyFill="1" applyBorder="1" applyAlignment="1">
      <alignment horizontal="right" vertical="center" wrapText="1"/>
    </xf>
    <xf numFmtId="0" fontId="19" fillId="25" borderId="8" xfId="1" applyFont="1" applyFill="1" applyBorder="1" applyAlignment="1">
      <alignment horizontal="center" wrapText="1"/>
    </xf>
    <xf numFmtId="0" fontId="19" fillId="25" borderId="9" xfId="1" applyFont="1" applyFill="1" applyBorder="1" applyAlignment="1">
      <alignment horizontal="center" wrapText="1"/>
    </xf>
    <xf numFmtId="0" fontId="19" fillId="25" borderId="10" xfId="1" applyFont="1" applyFill="1" applyBorder="1" applyAlignment="1">
      <alignment horizontal="center" wrapText="1"/>
    </xf>
    <xf numFmtId="0" fontId="19" fillId="4" borderId="8" xfId="1" applyFont="1" applyFill="1" applyBorder="1" applyAlignment="1">
      <alignment horizontal="center" wrapText="1"/>
    </xf>
    <xf numFmtId="0" fontId="19" fillId="4" borderId="10" xfId="1" applyFont="1" applyFill="1" applyBorder="1" applyAlignment="1">
      <alignment horizontal="center" wrapText="1"/>
    </xf>
    <xf numFmtId="0" fontId="18" fillId="24" borderId="8" xfId="1" applyFont="1" applyFill="1" applyBorder="1" applyAlignment="1">
      <alignment horizontal="right"/>
    </xf>
    <xf numFmtId="0" fontId="18" fillId="24" borderId="9" xfId="1" applyFont="1" applyFill="1" applyBorder="1" applyAlignment="1">
      <alignment horizontal="right"/>
    </xf>
    <xf numFmtId="3" fontId="25" fillId="11" borderId="7" xfId="1" applyNumberFormat="1" applyFont="1" applyFill="1" applyBorder="1" applyAlignment="1">
      <alignment horizontal="right"/>
    </xf>
    <xf numFmtId="3" fontId="25" fillId="11" borderId="0" xfId="1" applyNumberFormat="1" applyFont="1" applyFill="1" applyBorder="1" applyAlignment="1">
      <alignment horizontal="right"/>
    </xf>
    <xf numFmtId="3" fontId="25" fillId="11" borderId="18" xfId="1" applyNumberFormat="1" applyFont="1" applyFill="1" applyBorder="1" applyAlignment="1">
      <alignment horizontal="right"/>
    </xf>
    <xf numFmtId="3" fontId="25" fillId="11" borderId="14" xfId="1" applyNumberFormat="1" applyFont="1" applyFill="1" applyBorder="1" applyAlignment="1">
      <alignment horizontal="right"/>
    </xf>
    <xf numFmtId="3" fontId="25" fillId="11" borderId="15" xfId="1" applyNumberFormat="1" applyFont="1" applyFill="1" applyBorder="1" applyAlignment="1">
      <alignment horizontal="right"/>
    </xf>
    <xf numFmtId="3" fontId="25" fillId="11" borderId="19" xfId="1" applyNumberFormat="1" applyFont="1" applyFill="1" applyBorder="1" applyAlignment="1">
      <alignment horizontal="right"/>
    </xf>
    <xf numFmtId="3" fontId="29" fillId="23" borderId="9" xfId="1" applyNumberFormat="1" applyFont="1" applyFill="1" applyBorder="1" applyAlignment="1">
      <alignment horizontal="right"/>
    </xf>
    <xf numFmtId="3" fontId="20" fillId="11" borderId="7" xfId="1" applyNumberFormat="1" applyFont="1" applyFill="1" applyBorder="1" applyAlignment="1">
      <alignment horizontal="right"/>
    </xf>
    <xf numFmtId="3" fontId="20" fillId="11" borderId="0" xfId="1" applyNumberFormat="1" applyFont="1" applyFill="1" applyBorder="1" applyAlignment="1">
      <alignment horizontal="right"/>
    </xf>
    <xf numFmtId="3" fontId="20" fillId="11" borderId="18" xfId="1" applyNumberFormat="1" applyFont="1" applyFill="1" applyBorder="1" applyAlignment="1">
      <alignment horizontal="right"/>
    </xf>
    <xf numFmtId="3" fontId="25" fillId="11" borderId="5" xfId="1" applyNumberFormat="1" applyFont="1" applyFill="1" applyBorder="1" applyAlignment="1">
      <alignment horizontal="right"/>
    </xf>
    <xf numFmtId="3" fontId="25" fillId="11" borderId="6" xfId="1" applyNumberFormat="1" applyFont="1" applyFill="1" applyBorder="1" applyAlignment="1">
      <alignment horizontal="right"/>
    </xf>
    <xf numFmtId="3" fontId="25" fillId="11" borderId="17" xfId="1" applyNumberFormat="1" applyFont="1" applyFill="1" applyBorder="1" applyAlignment="1">
      <alignment horizontal="right"/>
    </xf>
    <xf numFmtId="3" fontId="20" fillId="11" borderId="5" xfId="1" applyNumberFormat="1" applyFont="1" applyFill="1" applyBorder="1" applyAlignment="1">
      <alignment horizontal="right"/>
    </xf>
    <xf numFmtId="3" fontId="20" fillId="11" borderId="6" xfId="1" applyNumberFormat="1" applyFont="1" applyFill="1" applyBorder="1" applyAlignment="1">
      <alignment horizontal="right"/>
    </xf>
    <xf numFmtId="3" fontId="20" fillId="11" borderId="17" xfId="1" applyNumberFormat="1" applyFont="1" applyFill="1" applyBorder="1" applyAlignment="1">
      <alignment horizontal="right"/>
    </xf>
    <xf numFmtId="3" fontId="20" fillId="9" borderId="7" xfId="1" applyNumberFormat="1" applyFont="1" applyFill="1" applyBorder="1" applyAlignment="1">
      <alignment horizontal="right"/>
    </xf>
    <xf numFmtId="3" fontId="20" fillId="9" borderId="0" xfId="1" applyNumberFormat="1" applyFont="1" applyFill="1" applyBorder="1" applyAlignment="1">
      <alignment horizontal="right"/>
    </xf>
    <xf numFmtId="3" fontId="20" fillId="9" borderId="18" xfId="1" applyNumberFormat="1" applyFont="1" applyFill="1" applyBorder="1" applyAlignment="1">
      <alignment horizontal="right"/>
    </xf>
    <xf numFmtId="3" fontId="23" fillId="0" borderId="0" xfId="1" applyNumberFormat="1" applyFont="1" applyFill="1" applyBorder="1" applyAlignment="1">
      <alignment horizontal="right"/>
    </xf>
    <xf numFmtId="3" fontId="23" fillId="9" borderId="5" xfId="1" applyNumberFormat="1" applyFont="1" applyFill="1" applyBorder="1" applyAlignment="1">
      <alignment horizontal="right"/>
    </xf>
    <xf numFmtId="3" fontId="23" fillId="9" borderId="6" xfId="1" applyNumberFormat="1" applyFont="1" applyFill="1" applyBorder="1" applyAlignment="1">
      <alignment horizontal="right"/>
    </xf>
    <xf numFmtId="3" fontId="23" fillId="9" borderId="17" xfId="1" applyNumberFormat="1" applyFont="1" applyFill="1" applyBorder="1" applyAlignment="1">
      <alignment horizontal="right"/>
    </xf>
    <xf numFmtId="3" fontId="23" fillId="0" borderId="0" xfId="1" applyNumberFormat="1" applyFont="1" applyBorder="1" applyAlignment="1">
      <alignment horizontal="right"/>
    </xf>
    <xf numFmtId="3" fontId="20" fillId="9" borderId="5" xfId="1" applyNumberFormat="1" applyFont="1" applyFill="1" applyBorder="1" applyAlignment="1">
      <alignment horizontal="right"/>
    </xf>
    <xf numFmtId="3" fontId="20" fillId="9" borderId="6" xfId="1" applyNumberFormat="1" applyFont="1" applyFill="1" applyBorder="1" applyAlignment="1">
      <alignment horizontal="right"/>
    </xf>
    <xf numFmtId="3" fontId="20" fillId="9" borderId="17" xfId="1" applyNumberFormat="1" applyFont="1" applyFill="1" applyBorder="1" applyAlignment="1">
      <alignment horizontal="right"/>
    </xf>
    <xf numFmtId="3" fontId="20" fillId="9" borderId="14" xfId="1" applyNumberFormat="1" applyFont="1" applyFill="1" applyBorder="1" applyAlignment="1">
      <alignment horizontal="right"/>
    </xf>
    <xf numFmtId="3" fontId="20" fillId="9" borderId="15" xfId="1" applyNumberFormat="1" applyFont="1" applyFill="1" applyBorder="1" applyAlignment="1">
      <alignment horizontal="right"/>
    </xf>
    <xf numFmtId="3" fontId="20" fillId="9" borderId="19" xfId="1" applyNumberFormat="1" applyFont="1" applyFill="1" applyBorder="1" applyAlignment="1">
      <alignment horizontal="right"/>
    </xf>
    <xf numFmtId="3" fontId="21" fillId="4" borderId="8" xfId="1" applyNumberFormat="1" applyFont="1" applyFill="1" applyBorder="1" applyAlignment="1">
      <alignment horizontal="right"/>
    </xf>
    <xf numFmtId="3" fontId="21" fillId="4" borderId="9" xfId="1" applyNumberFormat="1" applyFont="1" applyFill="1" applyBorder="1" applyAlignment="1">
      <alignment horizontal="right"/>
    </xf>
    <xf numFmtId="3" fontId="21" fillId="4" borderId="10" xfId="1" applyNumberFormat="1" applyFont="1" applyFill="1" applyBorder="1" applyAlignment="1">
      <alignment horizontal="right"/>
    </xf>
    <xf numFmtId="3" fontId="23" fillId="9" borderId="14" xfId="1" applyNumberFormat="1" applyFont="1" applyFill="1" applyBorder="1" applyAlignment="1">
      <alignment horizontal="right"/>
    </xf>
    <xf numFmtId="3" fontId="23" fillId="9" borderId="15" xfId="1" applyNumberFormat="1" applyFont="1" applyFill="1" applyBorder="1" applyAlignment="1">
      <alignment horizontal="right"/>
    </xf>
    <xf numFmtId="3" fontId="23" fillId="9" borderId="19" xfId="1" applyNumberFormat="1" applyFont="1" applyFill="1" applyBorder="1" applyAlignment="1">
      <alignment horizontal="right"/>
    </xf>
    <xf numFmtId="3" fontId="23" fillId="0" borderId="0" xfId="1" applyNumberFormat="1" applyFont="1" applyBorder="1" applyAlignment="1">
      <alignment horizontal="right" vertical="center"/>
    </xf>
    <xf numFmtId="3" fontId="23" fillId="0" borderId="18" xfId="1" applyNumberFormat="1" applyFont="1" applyBorder="1" applyAlignment="1">
      <alignment horizontal="right"/>
    </xf>
    <xf numFmtId="3" fontId="20" fillId="9" borderId="14" xfId="1" applyNumberFormat="1" applyFont="1" applyFill="1" applyBorder="1" applyAlignment="1">
      <alignment horizontal="center"/>
    </xf>
    <xf numFmtId="3" fontId="20" fillId="9" borderId="15" xfId="1" applyNumberFormat="1" applyFont="1" applyFill="1" applyBorder="1" applyAlignment="1">
      <alignment horizontal="center"/>
    </xf>
    <xf numFmtId="3" fontId="20" fillId="9" borderId="19" xfId="1" applyNumberFormat="1" applyFont="1" applyFill="1" applyBorder="1" applyAlignment="1">
      <alignment horizontal="center"/>
    </xf>
    <xf numFmtId="3" fontId="20" fillId="11" borderId="7" xfId="1" applyNumberFormat="1" applyFont="1" applyFill="1" applyBorder="1" applyAlignment="1">
      <alignment horizontal="right" vertical="top" readingOrder="2"/>
    </xf>
    <xf numFmtId="0" fontId="25" fillId="0" borderId="0" xfId="0" applyFont="1" applyBorder="1" applyAlignment="1">
      <alignment horizontal="right" vertical="top" readingOrder="2"/>
    </xf>
    <xf numFmtId="0" fontId="25" fillId="0" borderId="18" xfId="0" applyFont="1" applyBorder="1" applyAlignment="1">
      <alignment horizontal="right" vertical="top" readingOrder="2"/>
    </xf>
    <xf numFmtId="1" fontId="20" fillId="0" borderId="0" xfId="1" applyNumberFormat="1" applyFont="1" applyBorder="1" applyAlignment="1">
      <alignment horizontal="right"/>
    </xf>
    <xf numFmtId="1" fontId="20" fillId="0" borderId="6" xfId="1" applyNumberFormat="1" applyFont="1" applyBorder="1" applyAlignment="1">
      <alignment horizontal="right"/>
    </xf>
    <xf numFmtId="3" fontId="20" fillId="0" borderId="0" xfId="1" applyNumberFormat="1" applyFont="1" applyBorder="1" applyAlignment="1">
      <alignment horizontal="center"/>
    </xf>
    <xf numFmtId="3" fontId="32" fillId="0" borderId="15" xfId="1" applyNumberFormat="1" applyFont="1" applyBorder="1" applyAlignment="1">
      <alignment horizontal="center"/>
    </xf>
    <xf numFmtId="3" fontId="32" fillId="0" borderId="6" xfId="1" applyNumberFormat="1" applyFont="1" applyFill="1" applyBorder="1" applyAlignment="1">
      <alignment horizontal="center"/>
    </xf>
    <xf numFmtId="3" fontId="23" fillId="0" borderId="15" xfId="1" applyNumberFormat="1" applyFont="1" applyBorder="1" applyAlignment="1">
      <alignment horizontal="right"/>
    </xf>
    <xf numFmtId="3" fontId="20" fillId="0" borderId="0" xfId="1" applyNumberFormat="1" applyFont="1" applyBorder="1" applyAlignment="1">
      <alignment horizontal="right"/>
    </xf>
    <xf numFmtId="3" fontId="23" fillId="4" borderId="8" xfId="1" applyNumberFormat="1" applyFont="1" applyFill="1" applyBorder="1" applyAlignment="1">
      <alignment horizontal="right" vertical="center"/>
    </xf>
    <xf numFmtId="3" fontId="23" fillId="4" borderId="9" xfId="1" applyNumberFormat="1" applyFont="1" applyFill="1" applyBorder="1" applyAlignment="1">
      <alignment horizontal="right" vertical="center"/>
    </xf>
    <xf numFmtId="3" fontId="23" fillId="4" borderId="10" xfId="1" applyNumberFormat="1" applyFont="1" applyFill="1" applyBorder="1" applyAlignment="1">
      <alignment horizontal="right" vertical="center"/>
    </xf>
    <xf numFmtId="165" fontId="23" fillId="8" borderId="8" xfId="3" applyNumberFormat="1" applyFont="1" applyFill="1" applyBorder="1" applyAlignment="1">
      <alignment horizontal="right" wrapText="1"/>
    </xf>
    <xf numFmtId="165" fontId="23" fillId="8" borderId="9" xfId="3" applyNumberFormat="1" applyFont="1" applyFill="1" applyBorder="1" applyAlignment="1">
      <alignment horizontal="right" wrapText="1"/>
    </xf>
    <xf numFmtId="165" fontId="23" fillId="8" borderId="10" xfId="3" applyNumberFormat="1" applyFont="1" applyFill="1" applyBorder="1" applyAlignment="1">
      <alignment horizontal="right" wrapText="1"/>
    </xf>
    <xf numFmtId="3" fontId="23" fillId="0" borderId="6" xfId="1" applyNumberFormat="1" applyFont="1" applyBorder="1" applyAlignment="1">
      <alignment horizontal="right"/>
    </xf>
    <xf numFmtId="3" fontId="21" fillId="4" borderId="8" xfId="0" applyNumberFormat="1" applyFont="1" applyFill="1" applyBorder="1" applyAlignment="1">
      <alignment horizontal="right" wrapText="1"/>
    </xf>
    <xf numFmtId="3" fontId="21" fillId="4" borderId="9" xfId="0" applyNumberFormat="1" applyFont="1" applyFill="1" applyBorder="1" applyAlignment="1">
      <alignment horizontal="right" wrapText="1"/>
    </xf>
    <xf numFmtId="3" fontId="21" fillId="4" borderId="10" xfId="0" applyNumberFormat="1" applyFont="1" applyFill="1" applyBorder="1" applyAlignment="1">
      <alignment horizontal="right" wrapText="1"/>
    </xf>
    <xf numFmtId="3" fontId="20" fillId="11" borderId="14" xfId="1" applyNumberFormat="1" applyFont="1" applyFill="1" applyBorder="1" applyAlignment="1">
      <alignment horizontal="right" vertical="top" readingOrder="2"/>
    </xf>
    <xf numFmtId="0" fontId="25" fillId="0" borderId="15" xfId="0" applyFont="1" applyBorder="1" applyAlignment="1">
      <alignment horizontal="right" vertical="top" readingOrder="2"/>
    </xf>
    <xf numFmtId="0" fontId="25" fillId="0" borderId="19" xfId="0" applyFont="1" applyBorder="1" applyAlignment="1">
      <alignment horizontal="right" vertical="top" readingOrder="2"/>
    </xf>
    <xf numFmtId="3" fontId="20" fillId="11" borderId="7" xfId="1" applyNumberFormat="1" applyFont="1" applyFill="1" applyBorder="1" applyAlignment="1">
      <alignment horizontal="right" vertical="top" wrapText="1" readingOrder="2"/>
    </xf>
    <xf numFmtId="3" fontId="20" fillId="11" borderId="0" xfId="1" applyNumberFormat="1" applyFont="1" applyFill="1" applyBorder="1" applyAlignment="1">
      <alignment horizontal="right" vertical="top" wrapText="1" readingOrder="2"/>
    </xf>
    <xf numFmtId="3" fontId="20" fillId="11" borderId="18" xfId="1" applyNumberFormat="1" applyFont="1" applyFill="1" applyBorder="1" applyAlignment="1">
      <alignment horizontal="right" vertical="top" wrapText="1" readingOrder="2"/>
    </xf>
    <xf numFmtId="3" fontId="20" fillId="11" borderId="14" xfId="1" applyNumberFormat="1" applyFont="1" applyFill="1" applyBorder="1" applyAlignment="1">
      <alignment horizontal="right" vertical="top" wrapText="1" readingOrder="2"/>
    </xf>
    <xf numFmtId="3" fontId="20" fillId="11" borderId="15" xfId="1" applyNumberFormat="1" applyFont="1" applyFill="1" applyBorder="1" applyAlignment="1">
      <alignment horizontal="right" vertical="top" wrapText="1" readingOrder="2"/>
    </xf>
    <xf numFmtId="3" fontId="20" fillId="11" borderId="19" xfId="1" applyNumberFormat="1" applyFont="1" applyFill="1" applyBorder="1" applyAlignment="1">
      <alignment horizontal="right" vertical="top" wrapText="1" readingOrder="2"/>
    </xf>
    <xf numFmtId="3" fontId="20" fillId="11" borderId="5" xfId="1" applyNumberFormat="1" applyFont="1" applyFill="1" applyBorder="1" applyAlignment="1">
      <alignment horizontal="right" vertical="top" wrapText="1" readingOrder="2"/>
    </xf>
    <xf numFmtId="3" fontId="20" fillId="11" borderId="6" xfId="1" applyNumberFormat="1" applyFont="1" applyFill="1" applyBorder="1" applyAlignment="1">
      <alignment horizontal="right" vertical="top" wrapText="1" readingOrder="2"/>
    </xf>
    <xf numFmtId="3" fontId="20" fillId="11" borderId="17" xfId="1" applyNumberFormat="1" applyFont="1" applyFill="1" applyBorder="1" applyAlignment="1">
      <alignment horizontal="right" vertical="top" wrapText="1" readingOrder="2"/>
    </xf>
    <xf numFmtId="3" fontId="20" fillId="11" borderId="7" xfId="1" applyNumberFormat="1" applyFont="1" applyFill="1" applyBorder="1" applyAlignment="1">
      <alignment horizontal="right" wrapText="1" readingOrder="2"/>
    </xf>
    <xf numFmtId="3" fontId="20" fillId="11" borderId="0" xfId="1" applyNumberFormat="1" applyFont="1" applyFill="1" applyBorder="1" applyAlignment="1">
      <alignment horizontal="right" wrapText="1" readingOrder="2"/>
    </xf>
    <xf numFmtId="3" fontId="20" fillId="11" borderId="18" xfId="1" applyNumberFormat="1" applyFont="1" applyFill="1" applyBorder="1" applyAlignment="1">
      <alignment horizontal="right" wrapText="1" readingOrder="2"/>
    </xf>
    <xf numFmtId="3" fontId="20" fillId="11" borderId="7" xfId="1" applyNumberFormat="1" applyFont="1" applyFill="1" applyBorder="1" applyAlignment="1">
      <alignment horizontal="right" vertical="top"/>
    </xf>
    <xf numFmtId="0" fontId="25" fillId="0" borderId="0" xfId="0" applyFont="1" applyBorder="1" applyAlignment="1">
      <alignment horizontal="right" vertical="top"/>
    </xf>
    <xf numFmtId="0" fontId="25" fillId="0" borderId="18" xfId="0" applyFont="1" applyBorder="1" applyAlignment="1">
      <alignment horizontal="right" vertical="top"/>
    </xf>
    <xf numFmtId="3" fontId="23" fillId="11" borderId="7" xfId="1" applyNumberFormat="1" applyFont="1" applyFill="1" applyBorder="1" applyAlignment="1">
      <alignment horizontal="right" vertical="top"/>
    </xf>
    <xf numFmtId="0" fontId="21" fillId="0" borderId="0" xfId="0" applyFont="1" applyBorder="1" applyAlignment="1">
      <alignment horizontal="right" vertical="top"/>
    </xf>
    <xf numFmtId="0" fontId="21" fillId="0" borderId="18" xfId="0" applyFont="1" applyBorder="1" applyAlignment="1">
      <alignment horizontal="right" vertical="top"/>
    </xf>
    <xf numFmtId="3" fontId="20" fillId="11" borderId="0" xfId="1" applyNumberFormat="1" applyFont="1" applyFill="1" applyBorder="1" applyAlignment="1">
      <alignment horizontal="right" vertical="top" readingOrder="2"/>
    </xf>
    <xf numFmtId="3" fontId="20" fillId="11" borderId="18" xfId="1" applyNumberFormat="1" applyFont="1" applyFill="1" applyBorder="1" applyAlignment="1">
      <alignment horizontal="right" vertical="top" readingOrder="2"/>
    </xf>
    <xf numFmtId="3" fontId="20" fillId="11" borderId="5" xfId="1" applyNumberFormat="1" applyFont="1" applyFill="1" applyBorder="1" applyAlignment="1">
      <alignment horizontal="right" vertical="top" readingOrder="2"/>
    </xf>
    <xf numFmtId="0" fontId="25" fillId="0" borderId="6" xfId="0" applyFont="1" applyBorder="1" applyAlignment="1">
      <alignment horizontal="right" vertical="top" readingOrder="2"/>
    </xf>
    <xf numFmtId="0" fontId="25" fillId="0" borderId="17" xfId="0" applyFont="1" applyBorder="1" applyAlignment="1">
      <alignment horizontal="right" vertical="top" readingOrder="2"/>
    </xf>
    <xf numFmtId="3" fontId="20" fillId="29" borderId="8" xfId="1" applyNumberFormat="1" applyFont="1" applyFill="1" applyBorder="1" applyAlignment="1">
      <alignment horizontal="right" vertical="top" readingOrder="2"/>
    </xf>
    <xf numFmtId="0" fontId="25" fillId="29" borderId="9" xfId="0" applyFont="1" applyFill="1" applyBorder="1" applyAlignment="1">
      <alignment horizontal="right" vertical="top" readingOrder="2"/>
    </xf>
    <xf numFmtId="0" fontId="25" fillId="29" borderId="10" xfId="0" applyFont="1" applyFill="1" applyBorder="1" applyAlignment="1">
      <alignment horizontal="right" vertical="top" readingOrder="2"/>
    </xf>
    <xf numFmtId="3" fontId="23" fillId="11" borderId="8" xfId="6" applyNumberFormat="1" applyFont="1" applyFill="1" applyBorder="1" applyAlignment="1">
      <alignment horizontal="right"/>
    </xf>
    <xf numFmtId="3" fontId="23" fillId="11" borderId="9" xfId="6" applyNumberFormat="1" applyFont="1" applyFill="1" applyBorder="1" applyAlignment="1">
      <alignment horizontal="right"/>
    </xf>
    <xf numFmtId="3" fontId="23" fillId="11" borderId="5" xfId="1" applyNumberFormat="1" applyFont="1" applyFill="1" applyBorder="1" applyAlignment="1">
      <alignment horizontal="right" vertical="top"/>
    </xf>
    <xf numFmtId="3" fontId="23" fillId="11" borderId="6" xfId="1" applyNumberFormat="1" applyFont="1" applyFill="1" applyBorder="1" applyAlignment="1">
      <alignment horizontal="right" vertical="top"/>
    </xf>
    <xf numFmtId="3" fontId="23" fillId="11" borderId="17" xfId="1" applyNumberFormat="1" applyFont="1" applyFill="1" applyBorder="1" applyAlignment="1">
      <alignment horizontal="right" vertical="top"/>
    </xf>
    <xf numFmtId="3" fontId="20" fillId="11" borderId="7" xfId="1" applyNumberFormat="1" applyFont="1" applyFill="1" applyBorder="1" applyAlignment="1">
      <alignment horizontal="right" vertical="top" wrapText="1"/>
    </xf>
    <xf numFmtId="3" fontId="20" fillId="11" borderId="14" xfId="1" applyNumberFormat="1" applyFont="1" applyFill="1" applyBorder="1" applyAlignment="1">
      <alignment horizontal="right" vertical="top"/>
    </xf>
    <xf numFmtId="0" fontId="25" fillId="0" borderId="15" xfId="0" applyFont="1" applyBorder="1" applyAlignment="1">
      <alignment horizontal="right" vertical="top"/>
    </xf>
    <xf numFmtId="0" fontId="25" fillId="0" borderId="19" xfId="0" applyFont="1" applyBorder="1" applyAlignment="1">
      <alignment horizontal="right" vertical="top"/>
    </xf>
    <xf numFmtId="3" fontId="20" fillId="11" borderId="0" xfId="1" applyNumberFormat="1" applyFont="1" applyFill="1" applyBorder="1" applyAlignment="1">
      <alignment horizontal="right" vertical="top"/>
    </xf>
    <xf numFmtId="3" fontId="20" fillId="11" borderId="18" xfId="1" applyNumberFormat="1" applyFont="1" applyFill="1" applyBorder="1" applyAlignment="1">
      <alignment horizontal="right" vertical="top"/>
    </xf>
    <xf numFmtId="3" fontId="23" fillId="0" borderId="0" xfId="0" applyNumberFormat="1" applyFont="1" applyBorder="1" applyAlignment="1">
      <alignment horizontal="right"/>
    </xf>
    <xf numFmtId="3" fontId="20" fillId="9" borderId="5" xfId="0" applyNumberFormat="1" applyFont="1" applyFill="1" applyBorder="1" applyAlignment="1">
      <alignment horizontal="right"/>
    </xf>
    <xf numFmtId="3" fontId="20" fillId="9" borderId="17" xfId="0" applyNumberFormat="1" applyFont="1" applyFill="1" applyBorder="1" applyAlignment="1">
      <alignment horizontal="right"/>
    </xf>
    <xf numFmtId="3" fontId="20" fillId="9" borderId="7" xfId="0" applyNumberFormat="1" applyFont="1" applyFill="1" applyBorder="1" applyAlignment="1">
      <alignment horizontal="right"/>
    </xf>
    <xf numFmtId="3" fontId="20" fillId="9" borderId="18" xfId="0" applyNumberFormat="1" applyFont="1" applyFill="1" applyBorder="1" applyAlignment="1">
      <alignment horizontal="right"/>
    </xf>
    <xf numFmtId="3" fontId="23" fillId="11" borderId="10" xfId="6" applyNumberFormat="1" applyFont="1" applyFill="1" applyBorder="1" applyAlignment="1">
      <alignment horizontal="right"/>
    </xf>
    <xf numFmtId="3" fontId="20" fillId="0" borderId="9" xfId="1" applyNumberFormat="1" applyFont="1" applyBorder="1" applyAlignment="1">
      <alignment horizontal="center"/>
    </xf>
    <xf numFmtId="3" fontId="10" fillId="0" borderId="9" xfId="1" applyNumberFormat="1" applyFont="1" applyBorder="1" applyAlignment="1">
      <alignment horizontal="center"/>
    </xf>
    <xf numFmtId="3" fontId="20" fillId="9" borderId="14" xfId="0" applyNumberFormat="1" applyFont="1" applyFill="1" applyBorder="1" applyAlignment="1">
      <alignment horizontal="right"/>
    </xf>
    <xf numFmtId="3" fontId="20" fillId="9" borderId="19" xfId="0" applyNumberFormat="1" applyFont="1" applyFill="1" applyBorder="1" applyAlignment="1">
      <alignment horizontal="right"/>
    </xf>
    <xf numFmtId="3" fontId="23" fillId="0" borderId="6" xfId="0" applyNumberFormat="1" applyFont="1" applyBorder="1" applyAlignment="1">
      <alignment horizontal="right"/>
    </xf>
    <xf numFmtId="3" fontId="20" fillId="17" borderId="11" xfId="1" applyNumberFormat="1" applyFont="1" applyFill="1" applyBorder="1" applyAlignment="1">
      <alignment horizontal="right" vertical="center" wrapText="1"/>
    </xf>
    <xf numFmtId="0" fontId="27" fillId="2" borderId="8" xfId="0" applyFont="1" applyFill="1" applyBorder="1" applyAlignment="1">
      <alignment horizontal="right" vertical="center" wrapText="1"/>
    </xf>
    <xf numFmtId="0" fontId="27" fillId="2" borderId="9" xfId="0" applyFont="1" applyFill="1" applyBorder="1" applyAlignment="1">
      <alignment horizontal="right" vertical="center" wrapText="1"/>
    </xf>
    <xf numFmtId="0" fontId="27" fillId="2" borderId="10" xfId="0" applyFont="1" applyFill="1" applyBorder="1" applyAlignment="1">
      <alignment horizontal="right" vertical="center" wrapText="1"/>
    </xf>
    <xf numFmtId="0" fontId="27" fillId="2" borderId="11" xfId="0" applyFont="1" applyFill="1" applyBorder="1" applyAlignment="1">
      <alignment horizontal="right" vertical="center" wrapText="1"/>
    </xf>
    <xf numFmtId="3" fontId="20" fillId="17" borderId="11" xfId="1" applyNumberFormat="1" applyFont="1" applyFill="1" applyBorder="1" applyAlignment="1">
      <alignment horizontal="right" vertical="center" wrapText="1" readingOrder="2"/>
    </xf>
    <xf numFmtId="0" fontId="20" fillId="13" borderId="8" xfId="0" applyFont="1" applyFill="1" applyBorder="1" applyAlignment="1">
      <alignment horizontal="center" wrapText="1"/>
    </xf>
    <xf numFmtId="0" fontId="20" fillId="13" borderId="9" xfId="0" applyFont="1" applyFill="1" applyBorder="1" applyAlignment="1">
      <alignment horizontal="center" wrapText="1"/>
    </xf>
    <xf numFmtId="0" fontId="20" fillId="13" borderId="10" xfId="0" applyFont="1" applyFill="1" applyBorder="1" applyAlignment="1">
      <alignment horizontal="center" wrapText="1"/>
    </xf>
    <xf numFmtId="0" fontId="23" fillId="13" borderId="8" xfId="0" applyFont="1" applyFill="1" applyBorder="1" applyAlignment="1">
      <alignment horizontal="center" wrapText="1"/>
    </xf>
    <xf numFmtId="0" fontId="23" fillId="13" borderId="9" xfId="0" applyFont="1" applyFill="1" applyBorder="1" applyAlignment="1">
      <alignment horizontal="center" wrapText="1"/>
    </xf>
    <xf numFmtId="0" fontId="23" fillId="13" borderId="10" xfId="0" applyFont="1" applyFill="1" applyBorder="1" applyAlignment="1">
      <alignment horizontal="center" wrapText="1"/>
    </xf>
    <xf numFmtId="0" fontId="23" fillId="13" borderId="8" xfId="1" applyFont="1" applyFill="1" applyBorder="1" applyAlignment="1">
      <alignment horizontal="center"/>
    </xf>
    <xf numFmtId="0" fontId="23" fillId="13" borderId="9" xfId="1" applyFont="1" applyFill="1" applyBorder="1" applyAlignment="1">
      <alignment horizontal="center"/>
    </xf>
    <xf numFmtId="0" fontId="23" fillId="13" borderId="10" xfId="1" applyFont="1" applyFill="1" applyBorder="1" applyAlignment="1">
      <alignment horizontal="center"/>
    </xf>
    <xf numFmtId="0" fontId="20" fillId="13" borderId="8" xfId="1" applyFont="1" applyFill="1" applyBorder="1" applyAlignment="1">
      <alignment horizontal="center"/>
    </xf>
    <xf numFmtId="0" fontId="20" fillId="13" borderId="9" xfId="1" applyFont="1" applyFill="1" applyBorder="1" applyAlignment="1">
      <alignment horizontal="center"/>
    </xf>
    <xf numFmtId="0" fontId="20" fillId="13" borderId="10" xfId="1" applyFont="1" applyFill="1" applyBorder="1" applyAlignment="1">
      <alignment horizontal="center"/>
    </xf>
    <xf numFmtId="0" fontId="23" fillId="11" borderId="8" xfId="1" applyFont="1" applyFill="1" applyBorder="1" applyAlignment="1">
      <alignment horizontal="center" wrapText="1"/>
    </xf>
    <xf numFmtId="0" fontId="23" fillId="11" borderId="10" xfId="1" applyFont="1" applyFill="1" applyBorder="1" applyAlignment="1">
      <alignment horizontal="center" wrapText="1"/>
    </xf>
    <xf numFmtId="0" fontId="21" fillId="11" borderId="8" xfId="1" applyFont="1" applyFill="1" applyBorder="1" applyAlignment="1">
      <alignment horizontal="center" readingOrder="2"/>
    </xf>
    <xf numFmtId="0" fontId="21" fillId="11" borderId="9" xfId="1" applyFont="1" applyFill="1" applyBorder="1" applyAlignment="1">
      <alignment horizontal="center" readingOrder="2"/>
    </xf>
    <xf numFmtId="0" fontId="21" fillId="11" borderId="10" xfId="1" applyFont="1" applyFill="1" applyBorder="1" applyAlignment="1">
      <alignment horizontal="center" readingOrder="2"/>
    </xf>
    <xf numFmtId="0" fontId="20" fillId="11" borderId="11" xfId="1" applyFont="1" applyFill="1" applyBorder="1" applyAlignment="1">
      <alignment horizontal="right" wrapText="1"/>
    </xf>
    <xf numFmtId="0" fontId="23" fillId="11" borderId="11" xfId="1" applyFont="1" applyFill="1" applyBorder="1" applyAlignment="1">
      <alignment horizontal="center" wrapText="1"/>
    </xf>
    <xf numFmtId="0" fontId="18" fillId="23" borderId="4" xfId="1" applyFont="1" applyFill="1" applyBorder="1" applyAlignment="1">
      <alignment horizontal="right"/>
    </xf>
    <xf numFmtId="0" fontId="18" fillId="23" borderId="2" xfId="1" applyFont="1" applyFill="1" applyBorder="1" applyAlignment="1">
      <alignment horizontal="right"/>
    </xf>
    <xf numFmtId="3" fontId="26" fillId="17" borderId="11" xfId="1" applyNumberFormat="1" applyFont="1" applyFill="1" applyBorder="1" applyAlignment="1">
      <alignment horizontal="right" vertical="center" wrapText="1"/>
    </xf>
    <xf numFmtId="0" fontId="23" fillId="11" borderId="9" xfId="1" applyFont="1" applyFill="1" applyBorder="1" applyAlignment="1">
      <alignment horizontal="center" wrapText="1"/>
    </xf>
    <xf numFmtId="0" fontId="21" fillId="11" borderId="8" xfId="1" applyFont="1" applyFill="1" applyBorder="1" applyAlignment="1">
      <alignment horizontal="center"/>
    </xf>
    <xf numFmtId="0" fontId="21" fillId="11" borderId="9" xfId="1" applyFont="1" applyFill="1" applyBorder="1" applyAlignment="1">
      <alignment horizontal="center"/>
    </xf>
    <xf numFmtId="0" fontId="21" fillId="11" borderId="10" xfId="1" applyFont="1" applyFill="1" applyBorder="1" applyAlignment="1">
      <alignment horizontal="center"/>
    </xf>
    <xf numFmtId="0" fontId="19" fillId="23" borderId="2" xfId="1" applyFont="1" applyFill="1" applyBorder="1" applyAlignment="1">
      <alignment horizontal="right"/>
    </xf>
    <xf numFmtId="0" fontId="19" fillId="23" borderId="1" xfId="1" applyFont="1" applyFill="1" applyBorder="1" applyAlignment="1">
      <alignment horizontal="right"/>
    </xf>
    <xf numFmtId="0" fontId="18" fillId="23" borderId="4" xfId="10" applyFont="1" applyFill="1" applyBorder="1" applyAlignment="1">
      <alignment horizontal="right"/>
    </xf>
    <xf numFmtId="0" fontId="19" fillId="23" borderId="2" xfId="10" applyFont="1" applyFill="1" applyBorder="1" applyAlignment="1">
      <alignment horizontal="right"/>
    </xf>
    <xf numFmtId="0" fontId="21" fillId="11" borderId="8" xfId="10" applyFont="1" applyFill="1" applyBorder="1" applyAlignment="1">
      <alignment horizontal="right"/>
    </xf>
    <xf numFmtId="0" fontId="21" fillId="11" borderId="9" xfId="10" applyFont="1" applyFill="1" applyBorder="1" applyAlignment="1">
      <alignment horizontal="right"/>
    </xf>
    <xf numFmtId="0" fontId="21" fillId="11" borderId="10" xfId="10" applyFont="1" applyFill="1" applyBorder="1" applyAlignment="1">
      <alignment horizontal="right"/>
    </xf>
    <xf numFmtId="0" fontId="23" fillId="13" borderId="8" xfId="10" applyFont="1" applyFill="1" applyBorder="1" applyAlignment="1">
      <alignment horizontal="center"/>
    </xf>
    <xf numFmtId="0" fontId="23" fillId="13" borderId="9" xfId="10" applyFont="1" applyFill="1" applyBorder="1" applyAlignment="1">
      <alignment horizontal="center"/>
    </xf>
    <xf numFmtId="0" fontId="23" fillId="13" borderId="10" xfId="10" applyFont="1" applyFill="1" applyBorder="1" applyAlignment="1">
      <alignment horizontal="center"/>
    </xf>
    <xf numFmtId="0" fontId="21" fillId="11" borderId="9" xfId="10" applyFont="1" applyFill="1" applyBorder="1" applyAlignment="1">
      <alignment horizontal="center"/>
    </xf>
    <xf numFmtId="0" fontId="21" fillId="11" borderId="10" xfId="10" applyFont="1" applyFill="1" applyBorder="1" applyAlignment="1">
      <alignment horizontal="center"/>
    </xf>
    <xf numFmtId="0" fontId="18" fillId="23" borderId="23" xfId="1" applyFont="1" applyFill="1" applyBorder="1" applyAlignment="1">
      <alignment horizontal="right" vertical="center"/>
    </xf>
    <xf numFmtId="0" fontId="18" fillId="23" borderId="24" xfId="1" applyFont="1" applyFill="1" applyBorder="1" applyAlignment="1">
      <alignment horizontal="right" vertical="center"/>
    </xf>
    <xf numFmtId="0" fontId="18" fillId="23" borderId="25" xfId="1" applyFont="1" applyFill="1" applyBorder="1" applyAlignment="1">
      <alignment horizontal="right" vertical="center"/>
    </xf>
    <xf numFmtId="0" fontId="38" fillId="13" borderId="28" xfId="1" applyFont="1" applyFill="1" applyBorder="1" applyAlignment="1">
      <alignment horizontal="right" wrapText="1"/>
    </xf>
    <xf numFmtId="0" fontId="38" fillId="13" borderId="9" xfId="1" applyFont="1" applyFill="1" applyBorder="1" applyAlignment="1">
      <alignment horizontal="right" wrapText="1"/>
    </xf>
    <xf numFmtId="0" fontId="38" fillId="13" borderId="31" xfId="1" applyFont="1" applyFill="1" applyBorder="1" applyAlignment="1">
      <alignment horizontal="right" wrapText="1"/>
    </xf>
    <xf numFmtId="0" fontId="38" fillId="13" borderId="26" xfId="1" applyFont="1" applyFill="1" applyBorder="1" applyAlignment="1">
      <alignment horizontal="right" wrapText="1"/>
    </xf>
    <xf numFmtId="0" fontId="38" fillId="13" borderId="0" xfId="1" applyFont="1" applyFill="1" applyBorder="1" applyAlignment="1">
      <alignment horizontal="right" wrapText="1"/>
    </xf>
    <xf numFmtId="0" fontId="38" fillId="13" borderId="27" xfId="1" applyFont="1" applyFill="1" applyBorder="1" applyAlignment="1">
      <alignment horizontal="right" wrapText="1"/>
    </xf>
    <xf numFmtId="0" fontId="38" fillId="13" borderId="28" xfId="1" applyFont="1" applyFill="1" applyBorder="1" applyAlignment="1">
      <alignment horizontal="right" wrapText="1" readingOrder="2"/>
    </xf>
    <xf numFmtId="0" fontId="38" fillId="13" borderId="9" xfId="1" applyFont="1" applyFill="1" applyBorder="1" applyAlignment="1">
      <alignment horizontal="right" wrapText="1" readingOrder="2"/>
    </xf>
    <xf numFmtId="0" fontId="38" fillId="13" borderId="31" xfId="1" applyFont="1" applyFill="1" applyBorder="1" applyAlignment="1">
      <alignment horizontal="right" wrapText="1" readingOrder="2"/>
    </xf>
  </cellXfs>
  <cellStyles count="19">
    <cellStyle name="Accent6" xfId="15" builtinId="49" hidden="1"/>
    <cellStyle name="Bad" xfId="18" builtinId="27"/>
    <cellStyle name="Comma 2" xfId="2"/>
    <cellStyle name="Data" xfId="16"/>
    <cellStyle name="Heading 2 2" xfId="12"/>
    <cellStyle name="highlightText" xfId="13"/>
    <cellStyle name="Hyperlink" xfId="17" builtinId="8"/>
    <cellStyle name="Hyperlink 2" xfId="5"/>
    <cellStyle name="Komma 3" xfId="8"/>
    <cellStyle name="Normal" xfId="0" builtinId="0"/>
    <cellStyle name="Normal 2" xfId="1"/>
    <cellStyle name="Normal 3" xfId="10"/>
    <cellStyle name="Output" xfId="11" builtinId="21" hidden="1"/>
    <cellStyle name="Percent" xfId="14" builtinId="5" hidden="1"/>
    <cellStyle name="Percent 2" xfId="3"/>
    <cellStyle name="Percent 2 2" xfId="9"/>
    <cellStyle name="Prozent 5" xfId="7"/>
    <cellStyle name="Standard 2 3" xfId="4"/>
    <cellStyle name="Standard 8" xfId="6"/>
  </cellStyles>
  <dxfs count="1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dxf>
    <dxf>
      <font>
        <condense val="0"/>
        <extend val="0"/>
        <color rgb="FF9C0006"/>
      </font>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C7CE"/>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1285875</xdr:colOff>
      <xdr:row>8</xdr:row>
      <xdr:rowOff>142875</xdr:rowOff>
    </xdr:from>
    <xdr:to>
      <xdr:col>5</xdr:col>
      <xdr:colOff>152400</xdr:colOff>
      <xdr:row>17</xdr:row>
      <xdr:rowOff>32385</xdr:rowOff>
    </xdr:to>
    <xdr:sp macro="" textlink="">
      <xdr:nvSpPr>
        <xdr:cNvPr id="2" name="AutoShape 8856"/>
        <xdr:cNvSpPr>
          <a:spLocks noChangeAspect="1" noChangeArrowheads="1"/>
        </xdr:cNvSpPr>
      </xdr:nvSpPr>
      <xdr:spPr bwMode="auto">
        <a:xfrm>
          <a:off x="7831455" y="2025015"/>
          <a:ext cx="1853565" cy="491109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ferdem\Dropbox\stress%20testing\1-TF%20meetings\2nd%20meeting\final%20documents\A-2%20liquiditytool_v1.5_201206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ferdem\Dropbox\stress%20testing\3rd%20meeting\A-2%20liquiditytool_v1.5_201206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ferdem\Dropbox\stress%20testing\3rd%20meeting\IIFS%20-A-2%20liquiditytool_v1.5_201206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Monitor - Input"/>
      <sheetName val="Method_Liqudity"/>
      <sheetName val="Roadmap"/>
      <sheetName val="Input - Banks Liqudity"/>
      <sheetName val="Input - Banks Solvency"/>
      <sheetName val="Assumptions - General"/>
      <sheetName val="Assumptions - Manual"/>
      <sheetName val="CF Monitor - Assumptions"/>
      <sheetName val="Calculation"/>
      <sheetName val="Summary"/>
      <sheetName val="Implied Cash Flow"/>
      <sheetName val="Maturity Mismatch"/>
      <sheetName val="Cash Flow"/>
      <sheetName val="CF Monitor - Results"/>
      <sheetName val="Solvency Link"/>
      <sheetName val="Setup"/>
      <sheetName val="Vari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0">
          <cell r="C40">
            <v>1</v>
          </cell>
          <cell r="D40">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Monitor - Input"/>
      <sheetName val="Method_Liqudity"/>
      <sheetName val="Roadmap"/>
      <sheetName val="Input - Banks Liqudity"/>
      <sheetName val="Calculation"/>
      <sheetName val="Implied Cash Flow"/>
      <sheetName val="Input - Banks Solvency"/>
      <sheetName val="Setup"/>
      <sheetName val="Assumptions - General"/>
      <sheetName val="Assumptions - Manual"/>
      <sheetName val="CF Monitor - Assumptions"/>
      <sheetName val="Summary"/>
      <sheetName val="Maturity Mismatch"/>
      <sheetName val="Cash Flow"/>
      <sheetName val="CF Monitor - Results"/>
      <sheetName val="Solvency Link"/>
      <sheetName val="Variables"/>
    </sheetNames>
    <sheetDataSet>
      <sheetData sheetId="0"/>
      <sheetData sheetId="1"/>
      <sheetData sheetId="2"/>
      <sheetData sheetId="3">
        <row r="35">
          <cell r="L35">
            <v>10256136.79686356</v>
          </cell>
        </row>
      </sheetData>
      <sheetData sheetId="4">
        <row r="20">
          <cell r="D20">
            <v>265937.52677703864</v>
          </cell>
        </row>
      </sheetData>
      <sheetData sheetId="5">
        <row r="13">
          <cell r="C13">
            <v>349593618.94873708</v>
          </cell>
        </row>
      </sheetData>
      <sheetData sheetId="6"/>
      <sheetData sheetId="7"/>
      <sheetData sheetId="8">
        <row r="11">
          <cell r="A11" t="str">
            <v>Demand deposits</v>
          </cell>
        </row>
      </sheetData>
      <sheetData sheetId="9"/>
      <sheetData sheetId="10"/>
      <sheetData sheetId="11"/>
      <sheetData sheetId="12"/>
      <sheetData sheetId="13"/>
      <sheetData sheetId="14"/>
      <sheetData sheetId="15"/>
      <sheetData sheetId="16">
        <row r="40">
          <cell r="C40">
            <v>1</v>
          </cell>
          <cell r="D40">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Monitor - Input"/>
      <sheetName val="1-Method_Liqudity"/>
      <sheetName val="2-Setup"/>
      <sheetName val="3-Variables"/>
      <sheetName val="Roadmap"/>
      <sheetName val="Input - Banks Liqudity"/>
      <sheetName val="Input - Banks Solvency"/>
      <sheetName val="Assumptions - General"/>
      <sheetName val="Assumptions - Manual"/>
      <sheetName val="CF Monitor - Assumptions"/>
      <sheetName val="Calculation"/>
      <sheetName val="Summary"/>
      <sheetName val="Implied Cash Flow"/>
      <sheetName val="Maturity Mismatch"/>
      <sheetName val="Cash Flow"/>
      <sheetName val="CF Monitor - Results"/>
      <sheetName val="Solvency Link"/>
    </sheetNames>
    <sheetDataSet>
      <sheetData sheetId="0"/>
      <sheetData sheetId="1"/>
      <sheetData sheetId="2">
        <row r="138">
          <cell r="C138" t="str">
            <v>Asset backed assets</v>
          </cell>
        </row>
      </sheetData>
      <sheetData sheetId="3">
        <row r="40">
          <cell r="C40">
            <v>1</v>
          </cell>
          <cell r="D40">
            <v>0</v>
          </cell>
        </row>
      </sheetData>
      <sheetData sheetId="4"/>
      <sheetData sheetId="5"/>
      <sheetData sheetId="6">
        <row r="9">
          <cell r="C9" t="str">
            <v>Tier 1</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7"/>
  <sheetViews>
    <sheetView showGridLines="0" rightToLeft="1" view="pageLayout" topLeftCell="B14" zoomScale="90" zoomScaleNormal="70" zoomScaleSheetLayoutView="90" zoomScalePageLayoutView="90" workbookViewId="0">
      <selection activeCell="C16" sqref="C16"/>
    </sheetView>
  </sheetViews>
  <sheetFormatPr defaultColWidth="11.42578125" defaultRowHeight="12.75" x14ac:dyDescent="0.2"/>
  <cols>
    <col min="1" max="1" width="30.7109375" style="11" customWidth="1"/>
    <col min="2" max="2" width="33.7109375" style="11" customWidth="1"/>
    <col min="3" max="6" width="30.7109375" style="11" customWidth="1"/>
    <col min="7" max="16384" width="11.42578125" style="11"/>
  </cols>
  <sheetData>
    <row r="1" spans="1:6" x14ac:dyDescent="0.2">
      <c r="A1" s="26"/>
    </row>
    <row r="2" spans="1:6" ht="23.25" x14ac:dyDescent="0.5">
      <c r="A2" s="831" t="s">
        <v>295</v>
      </c>
    </row>
    <row r="3" spans="1:6" ht="18.75" x14ac:dyDescent="0.45">
      <c r="A3" s="897" t="s">
        <v>38</v>
      </c>
      <c r="B3" s="898"/>
      <c r="C3" s="158"/>
      <c r="D3" s="158"/>
      <c r="E3" s="158"/>
      <c r="F3" s="158"/>
    </row>
    <row r="4" spans="1:6" ht="18.75" x14ac:dyDescent="0.45">
      <c r="A4" s="159"/>
      <c r="B4" s="159"/>
      <c r="C4" s="159"/>
      <c r="D4" s="159"/>
      <c r="E4" s="159"/>
      <c r="F4" s="159"/>
    </row>
    <row r="5" spans="1:6" ht="18.75" x14ac:dyDescent="0.45">
      <c r="A5" s="159" t="s">
        <v>296</v>
      </c>
      <c r="B5" s="832">
        <v>42667</v>
      </c>
      <c r="C5" s="159"/>
      <c r="D5" s="159"/>
      <c r="E5" s="159"/>
      <c r="F5" s="159"/>
    </row>
    <row r="6" spans="1:6" ht="18.75" x14ac:dyDescent="0.45">
      <c r="A6" s="159"/>
      <c r="B6" s="159"/>
      <c r="C6" s="159"/>
      <c r="D6" s="159"/>
      <c r="E6" s="159"/>
      <c r="F6" s="159"/>
    </row>
    <row r="7" spans="1:6" ht="18.75" x14ac:dyDescent="0.45">
      <c r="A7" s="159"/>
      <c r="B7" s="159"/>
      <c r="C7" s="159"/>
      <c r="D7" s="159"/>
      <c r="E7" s="159"/>
      <c r="F7" s="159"/>
    </row>
    <row r="8" spans="1:6" s="12" customFormat="1" ht="50.1" customHeight="1" x14ac:dyDescent="0.2">
      <c r="A8" s="889" t="s">
        <v>333</v>
      </c>
      <c r="B8" s="890"/>
      <c r="C8" s="890"/>
      <c r="D8" s="890"/>
      <c r="E8" s="890"/>
      <c r="F8" s="891"/>
    </row>
    <row r="9" spans="1:6" s="12" customFormat="1" ht="18.75" x14ac:dyDescent="0.45">
      <c r="A9" s="160"/>
      <c r="B9" s="160"/>
      <c r="C9" s="160"/>
      <c r="D9" s="160"/>
      <c r="E9" s="160"/>
      <c r="F9" s="161"/>
    </row>
    <row r="10" spans="1:6" ht="18.75" x14ac:dyDescent="0.45">
      <c r="A10" s="159"/>
      <c r="B10" s="159"/>
      <c r="C10" s="159"/>
      <c r="D10" s="159"/>
      <c r="E10" s="159"/>
      <c r="F10" s="159"/>
    </row>
    <row r="11" spans="1:6" ht="20.100000000000001" customHeight="1" x14ac:dyDescent="0.45">
      <c r="A11" s="892" t="s">
        <v>29</v>
      </c>
      <c r="B11" s="893"/>
      <c r="C11" s="893"/>
      <c r="D11" s="893"/>
      <c r="E11" s="893"/>
      <c r="F11" s="894"/>
    </row>
    <row r="12" spans="1:6" ht="20.100000000000001" customHeight="1" x14ac:dyDescent="0.45">
      <c r="A12" s="162"/>
      <c r="B12" s="162"/>
      <c r="C12" s="895" t="s">
        <v>30</v>
      </c>
      <c r="D12" s="896"/>
      <c r="E12" s="895" t="s">
        <v>31</v>
      </c>
      <c r="F12" s="896"/>
    </row>
    <row r="13" spans="1:6" ht="20.100000000000001" customHeight="1" x14ac:dyDescent="0.45">
      <c r="A13" s="163" t="s">
        <v>32</v>
      </c>
      <c r="B13" s="163" t="s">
        <v>33</v>
      </c>
      <c r="C13" s="164" t="s">
        <v>34</v>
      </c>
      <c r="D13" s="164" t="s">
        <v>35</v>
      </c>
      <c r="E13" s="164" t="s">
        <v>34</v>
      </c>
      <c r="F13" s="164" t="s">
        <v>35</v>
      </c>
    </row>
    <row r="14" spans="1:6" ht="129" customHeight="1" x14ac:dyDescent="0.2">
      <c r="A14" s="165" t="s">
        <v>39</v>
      </c>
      <c r="B14" s="165" t="s">
        <v>339</v>
      </c>
      <c r="C14" s="166" t="s">
        <v>41</v>
      </c>
      <c r="D14" s="166" t="s">
        <v>336</v>
      </c>
      <c r="E14" s="166" t="s">
        <v>337</v>
      </c>
      <c r="F14" s="166" t="s">
        <v>338</v>
      </c>
    </row>
    <row r="15" spans="1:6" ht="75" x14ac:dyDescent="0.2">
      <c r="A15" s="165" t="s">
        <v>36</v>
      </c>
      <c r="B15" s="165" t="s">
        <v>340</v>
      </c>
      <c r="C15" s="166" t="s">
        <v>40</v>
      </c>
      <c r="D15" s="166" t="s">
        <v>334</v>
      </c>
      <c r="E15" s="166" t="s">
        <v>347</v>
      </c>
      <c r="F15" s="166" t="s">
        <v>335</v>
      </c>
    </row>
    <row r="16" spans="1:6" ht="56.25" x14ac:dyDescent="0.2">
      <c r="A16" s="165" t="s">
        <v>37</v>
      </c>
      <c r="B16" s="167" t="s">
        <v>341</v>
      </c>
      <c r="C16" s="168" t="s">
        <v>343</v>
      </c>
      <c r="D16" s="168" t="s">
        <v>344</v>
      </c>
      <c r="E16" s="168" t="s">
        <v>346</v>
      </c>
      <c r="F16" s="168" t="s">
        <v>43</v>
      </c>
    </row>
    <row r="17" spans="1:6" ht="93.75" x14ac:dyDescent="0.2">
      <c r="A17" s="165" t="s">
        <v>24</v>
      </c>
      <c r="B17" s="169" t="s">
        <v>357</v>
      </c>
      <c r="C17" s="166" t="s">
        <v>342</v>
      </c>
      <c r="D17" s="166" t="s">
        <v>345</v>
      </c>
      <c r="E17" s="166" t="s">
        <v>42</v>
      </c>
      <c r="F17" s="166" t="s">
        <v>42</v>
      </c>
    </row>
  </sheetData>
  <sheetProtection password="A972" sheet="1" objects="1" scenarios="1"/>
  <mergeCells count="5">
    <mergeCell ref="A8:F8"/>
    <mergeCell ref="A11:F11"/>
    <mergeCell ref="C12:D12"/>
    <mergeCell ref="E12:F12"/>
    <mergeCell ref="A3:B3"/>
  </mergeCells>
  <pageMargins left="0.70866141732283472" right="0.70866141732283472" top="0.74803149606299213" bottom="0.74803149606299213" header="0.31496062992125984" footer="0.31496062992125984"/>
  <pageSetup scale="65" orientation="landscape" r:id="rId1"/>
  <headerFooter>
    <oddHeader xml:space="preserve">&amp;C&amp;"Sakkal Majalla,Regular"&amp;10مجلس الخدمات المالية الإسلامية 2017 ©
هذه الوثيقة هي جزء من الملاحظة الفنية رقم 2 (الملاحظة الفنية حول اختبارات الضغط للمؤسسات التي تقدم خدمات مالية إسلامية)، ديسمبر 2016
</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outlinePr summaryRight="0"/>
  </sheetPr>
  <dimension ref="A1:M318"/>
  <sheetViews>
    <sheetView showGridLines="0" rightToLeft="1" view="pageLayout" topLeftCell="A239" zoomScale="120" zoomScaleNormal="90" zoomScaleSheetLayoutView="106" zoomScalePageLayoutView="120" workbookViewId="0">
      <selection activeCell="D250" sqref="D250:E250"/>
    </sheetView>
  </sheetViews>
  <sheetFormatPr defaultColWidth="11.42578125" defaultRowHeight="12" customHeight="1" x14ac:dyDescent="0.2"/>
  <cols>
    <col min="1" max="1" width="2.7109375" style="882" customWidth="1"/>
    <col min="2" max="2" width="2.7109375" style="40" customWidth="1"/>
    <col min="3" max="3" width="3.28515625" style="40" customWidth="1"/>
    <col min="4" max="4" width="2.7109375" style="40" customWidth="1"/>
    <col min="5" max="5" width="112" style="40" customWidth="1"/>
    <col min="6" max="6" width="5.7109375" style="40" customWidth="1"/>
    <col min="7" max="7" width="23.140625" style="40" customWidth="1"/>
    <col min="8" max="8" width="3.5703125" style="40" customWidth="1"/>
    <col min="9" max="9" width="14.42578125" style="40" customWidth="1"/>
    <col min="10" max="10" width="15.28515625" style="40" customWidth="1"/>
    <col min="11" max="11" width="17.42578125" style="40" customWidth="1"/>
    <col min="12" max="12" width="17.5703125" style="40" customWidth="1"/>
    <col min="13" max="13" width="17.28515625" style="40" customWidth="1"/>
    <col min="14" max="16384" width="11.42578125" style="1"/>
  </cols>
  <sheetData>
    <row r="1" spans="1:13" ht="12" customHeight="1" x14ac:dyDescent="0.2">
      <c r="A1" s="1007"/>
      <c r="B1" s="1007"/>
      <c r="C1" s="1007"/>
      <c r="D1" s="1007"/>
      <c r="E1" s="1007"/>
      <c r="F1" s="41"/>
      <c r="G1" s="41"/>
      <c r="H1" s="41"/>
      <c r="I1" s="42"/>
      <c r="K1" s="41"/>
      <c r="M1" s="41"/>
    </row>
    <row r="2" spans="1:13" ht="15" customHeight="1" x14ac:dyDescent="0.35">
      <c r="A2" s="905" t="s">
        <v>44</v>
      </c>
      <c r="B2" s="905"/>
      <c r="C2" s="905"/>
      <c r="D2" s="905"/>
      <c r="E2" s="905"/>
      <c r="F2" s="171"/>
      <c r="G2" s="170"/>
      <c r="H2" s="171"/>
      <c r="I2" s="172"/>
      <c r="J2" s="173"/>
      <c r="K2" s="170"/>
      <c r="L2" s="173"/>
      <c r="M2" s="43"/>
    </row>
    <row r="3" spans="1:13" ht="15" customHeight="1" x14ac:dyDescent="0.35">
      <c r="A3" s="1006"/>
      <c r="B3" s="1006"/>
      <c r="C3" s="1006"/>
      <c r="D3" s="1006"/>
      <c r="E3" s="1006"/>
      <c r="F3" s="69"/>
      <c r="G3" s="174"/>
      <c r="H3" s="69"/>
      <c r="I3" s="175"/>
      <c r="J3" s="176"/>
      <c r="K3" s="174"/>
      <c r="L3" s="176"/>
      <c r="M3" s="41"/>
    </row>
    <row r="4" spans="1:13" s="3" customFormat="1" ht="15" customHeight="1" x14ac:dyDescent="0.35">
      <c r="A4" s="881" t="s">
        <v>45</v>
      </c>
      <c r="B4" s="857"/>
      <c r="C4" s="857"/>
      <c r="D4" s="857"/>
      <c r="E4" s="858"/>
      <c r="F4" s="177"/>
      <c r="G4" s="248" t="s">
        <v>46</v>
      </c>
      <c r="H4" s="177"/>
      <c r="I4" s="178" t="s">
        <v>66</v>
      </c>
      <c r="J4" s="178" t="s">
        <v>67</v>
      </c>
      <c r="K4" s="178" t="s">
        <v>68</v>
      </c>
      <c r="L4" s="249" t="s">
        <v>69</v>
      </c>
      <c r="M4" s="303" t="s">
        <v>70</v>
      </c>
    </row>
    <row r="5" spans="1:13" s="4" customFormat="1" ht="15" customHeight="1" x14ac:dyDescent="0.35">
      <c r="A5" s="944" t="s">
        <v>47</v>
      </c>
      <c r="B5" s="944"/>
      <c r="C5" s="944"/>
      <c r="D5" s="944"/>
      <c r="E5" s="944"/>
      <c r="F5" s="179"/>
      <c r="G5" s="180">
        <v>2014</v>
      </c>
      <c r="H5" s="179"/>
      <c r="I5" s="308">
        <v>2014</v>
      </c>
      <c r="J5" s="309">
        <v>2014</v>
      </c>
      <c r="K5" s="309">
        <v>2014</v>
      </c>
      <c r="L5" s="304">
        <v>2014</v>
      </c>
      <c r="M5" s="304">
        <v>2014</v>
      </c>
    </row>
    <row r="6" spans="1:13" s="4" customFormat="1" ht="15" customHeight="1" x14ac:dyDescent="0.35">
      <c r="A6" s="943" t="s">
        <v>48</v>
      </c>
      <c r="B6" s="943"/>
      <c r="C6" s="943"/>
      <c r="D6" s="943"/>
      <c r="E6" s="943"/>
      <c r="F6" s="179"/>
      <c r="G6" s="182">
        <v>12</v>
      </c>
      <c r="H6" s="179"/>
      <c r="I6" s="181">
        <v>12</v>
      </c>
      <c r="J6" s="304">
        <v>12</v>
      </c>
      <c r="K6" s="304">
        <v>12</v>
      </c>
      <c r="L6" s="304">
        <v>12</v>
      </c>
      <c r="M6" s="181">
        <v>12</v>
      </c>
    </row>
    <row r="7" spans="1:13" s="4" customFormat="1" ht="15" customHeight="1" x14ac:dyDescent="0.35">
      <c r="A7" s="943" t="s">
        <v>72</v>
      </c>
      <c r="B7" s="943"/>
      <c r="C7" s="943"/>
      <c r="D7" s="943"/>
      <c r="E7" s="943"/>
      <c r="F7" s="179"/>
      <c r="G7" s="182"/>
      <c r="H7" s="179"/>
      <c r="I7" s="183" t="s">
        <v>75</v>
      </c>
      <c r="J7" s="305" t="s">
        <v>75</v>
      </c>
      <c r="K7" s="305" t="s">
        <v>75</v>
      </c>
      <c r="L7" s="305" t="s">
        <v>75</v>
      </c>
      <c r="M7" s="183" t="s">
        <v>75</v>
      </c>
    </row>
    <row r="8" spans="1:13" s="4" customFormat="1" ht="15" customHeight="1" x14ac:dyDescent="0.35">
      <c r="A8" s="943" t="s">
        <v>49</v>
      </c>
      <c r="B8" s="943"/>
      <c r="C8" s="943"/>
      <c r="D8" s="943"/>
      <c r="E8" s="943"/>
      <c r="F8" s="179"/>
      <c r="G8" s="182"/>
      <c r="H8" s="179"/>
      <c r="I8" s="184"/>
      <c r="J8" s="306"/>
      <c r="K8" s="306"/>
      <c r="L8" s="306"/>
      <c r="M8" s="184"/>
    </row>
    <row r="9" spans="1:13" s="4" customFormat="1" ht="15" customHeight="1" x14ac:dyDescent="0.35">
      <c r="A9" s="943" t="s">
        <v>50</v>
      </c>
      <c r="B9" s="943"/>
      <c r="C9" s="943"/>
      <c r="D9" s="943"/>
      <c r="E9" s="943"/>
      <c r="F9" s="179"/>
      <c r="G9" s="182"/>
      <c r="H9" s="179"/>
      <c r="I9" s="181"/>
      <c r="J9" s="304"/>
      <c r="K9" s="304"/>
      <c r="L9" s="304"/>
      <c r="M9" s="181"/>
    </row>
    <row r="10" spans="1:13" s="5" customFormat="1" ht="15" customHeight="1" x14ac:dyDescent="0.35">
      <c r="A10" s="949" t="s">
        <v>73</v>
      </c>
      <c r="B10" s="949"/>
      <c r="C10" s="949"/>
      <c r="D10" s="949"/>
      <c r="E10" s="949"/>
      <c r="F10" s="186"/>
      <c r="G10" s="859"/>
      <c r="H10" s="186"/>
      <c r="I10" s="185"/>
      <c r="J10" s="307"/>
      <c r="K10" s="307"/>
      <c r="L10" s="307"/>
      <c r="M10" s="185"/>
    </row>
    <row r="11" spans="1:13" s="5" customFormat="1" ht="15" customHeight="1" x14ac:dyDescent="0.35">
      <c r="A11" s="945"/>
      <c r="B11" s="945"/>
      <c r="C11" s="945"/>
      <c r="D11" s="945"/>
      <c r="E11" s="945"/>
      <c r="F11" s="186"/>
      <c r="G11" s="186"/>
      <c r="H11" s="186"/>
      <c r="I11" s="187"/>
      <c r="J11" s="187"/>
      <c r="K11" s="187"/>
      <c r="L11" s="187"/>
      <c r="M11" s="187"/>
    </row>
    <row r="12" spans="1:13" s="5" customFormat="1" ht="15" customHeight="1" x14ac:dyDescent="0.35">
      <c r="A12" s="946"/>
      <c r="B12" s="946"/>
      <c r="C12" s="946"/>
      <c r="D12" s="946"/>
      <c r="E12" s="946"/>
      <c r="F12" s="186"/>
      <c r="G12" s="186"/>
      <c r="H12" s="186"/>
      <c r="I12" s="187"/>
      <c r="J12" s="187"/>
      <c r="K12" s="187"/>
      <c r="L12" s="187"/>
      <c r="M12" s="187"/>
    </row>
    <row r="13" spans="1:13" s="3" customFormat="1" ht="15" customHeight="1" x14ac:dyDescent="0.35">
      <c r="A13" s="950" t="s">
        <v>297</v>
      </c>
      <c r="B13" s="951"/>
      <c r="C13" s="951"/>
      <c r="D13" s="951"/>
      <c r="E13" s="952"/>
      <c r="F13" s="177"/>
      <c r="G13" s="257" t="str">
        <f>G$4</f>
        <v>الإجمالي</v>
      </c>
      <c r="H13" s="177"/>
      <c r="I13" s="178" t="s">
        <v>66</v>
      </c>
      <c r="J13" s="178" t="s">
        <v>67</v>
      </c>
      <c r="K13" s="178" t="s">
        <v>68</v>
      </c>
      <c r="L13" s="178" t="s">
        <v>69</v>
      </c>
      <c r="M13" s="249" t="s">
        <v>70</v>
      </c>
    </row>
    <row r="14" spans="1:13" s="6" customFormat="1" ht="15" customHeight="1" x14ac:dyDescent="0.35">
      <c r="A14" s="947"/>
      <c r="B14" s="947"/>
      <c r="C14" s="947"/>
      <c r="D14" s="947"/>
      <c r="E14" s="947"/>
      <c r="F14" s="177"/>
      <c r="G14" s="189"/>
      <c r="H14" s="177"/>
      <c r="I14" s="190"/>
      <c r="J14" s="190"/>
      <c r="K14" s="190"/>
      <c r="L14" s="190"/>
      <c r="M14" s="190"/>
    </row>
    <row r="15" spans="1:13" s="7" customFormat="1" ht="15" customHeight="1" x14ac:dyDescent="0.35">
      <c r="A15" s="922" t="s">
        <v>51</v>
      </c>
      <c r="B15" s="922"/>
      <c r="C15" s="922"/>
      <c r="D15" s="922"/>
      <c r="E15" s="922"/>
      <c r="F15" s="191"/>
      <c r="G15" s="258">
        <f>SUM(I15:M15)</f>
        <v>82084134.373911291</v>
      </c>
      <c r="H15" s="259"/>
      <c r="I15" s="260">
        <v>16849328.640699401</v>
      </c>
      <c r="J15" s="261">
        <v>16545896.7205882</v>
      </c>
      <c r="K15" s="261">
        <v>15947302.0410292</v>
      </c>
      <c r="L15" s="261">
        <v>16447157.782196999</v>
      </c>
      <c r="M15" s="262">
        <v>16294449.189397499</v>
      </c>
    </row>
    <row r="16" spans="1:13" s="7" customFormat="1" ht="15" customHeight="1" x14ac:dyDescent="0.35">
      <c r="A16" s="922" t="s">
        <v>358</v>
      </c>
      <c r="B16" s="922"/>
      <c r="C16" s="922"/>
      <c r="D16" s="922"/>
      <c r="E16" s="922"/>
      <c r="F16" s="191"/>
      <c r="G16" s="263">
        <f>SUM(I16:M16)</f>
        <v>1</v>
      </c>
      <c r="H16" s="259"/>
      <c r="I16" s="264">
        <f>I15/$G15</f>
        <v>0.20526900562716544</v>
      </c>
      <c r="J16" s="265">
        <f>J15/$G15</f>
        <v>0.20157240917249611</v>
      </c>
      <c r="K16" s="265">
        <f>K15/$G15</f>
        <v>0.19427995632366335</v>
      </c>
      <c r="L16" s="265">
        <f>L15/$G15</f>
        <v>0.20036950998687</v>
      </c>
      <c r="M16" s="266">
        <f>M15/$G15</f>
        <v>0.19850911888980516</v>
      </c>
    </row>
    <row r="17" spans="1:13" s="7" customFormat="1" ht="15" customHeight="1" x14ac:dyDescent="0.35">
      <c r="A17" s="922" t="s">
        <v>359</v>
      </c>
      <c r="B17" s="922"/>
      <c r="C17" s="922"/>
      <c r="D17" s="922"/>
      <c r="E17" s="922"/>
      <c r="F17" s="191"/>
      <c r="G17" s="263">
        <v>0.15</v>
      </c>
      <c r="H17" s="259"/>
      <c r="I17" s="264">
        <f>I16*$G$17</f>
        <v>3.0790350844074815E-2</v>
      </c>
      <c r="J17" s="265">
        <f>J16*$G$17</f>
        <v>3.0235861375874414E-2</v>
      </c>
      <c r="K17" s="265">
        <f>K16*$G$17</f>
        <v>2.9141993448549501E-2</v>
      </c>
      <c r="L17" s="265">
        <f>L16*$G$17</f>
        <v>3.0055426498030498E-2</v>
      </c>
      <c r="M17" s="266">
        <f>M16*$G$17</f>
        <v>2.9776367833470773E-2</v>
      </c>
    </row>
    <row r="18" spans="1:13" s="7" customFormat="1" ht="15" customHeight="1" x14ac:dyDescent="0.35">
      <c r="A18" s="922" t="s">
        <v>361</v>
      </c>
      <c r="B18" s="922"/>
      <c r="C18" s="922"/>
      <c r="D18" s="922"/>
      <c r="E18" s="922"/>
      <c r="F18" s="191"/>
      <c r="G18" s="267">
        <f t="shared" ref="G18:G23" si="0">SUM(I18:M18)</f>
        <v>30380417</v>
      </c>
      <c r="H18" s="259"/>
      <c r="I18" s="268">
        <f>SUM(I91:I99)</f>
        <v>6300865</v>
      </c>
      <c r="J18" s="269">
        <f>SUM(J91:J99)</f>
        <v>5997190</v>
      </c>
      <c r="K18" s="269">
        <f>SUM(K91:K99)</f>
        <v>4183220</v>
      </c>
      <c r="L18" s="269">
        <f>SUM(L91:L99)</f>
        <v>5963106</v>
      </c>
      <c r="M18" s="270">
        <f>SUM(M91:M99)</f>
        <v>7936036</v>
      </c>
    </row>
    <row r="19" spans="1:13" s="7" customFormat="1" ht="15" customHeight="1" x14ac:dyDescent="0.35">
      <c r="A19" s="922" t="s">
        <v>74</v>
      </c>
      <c r="B19" s="922"/>
      <c r="C19" s="922"/>
      <c r="D19" s="922"/>
      <c r="E19" s="922"/>
      <c r="F19" s="191"/>
      <c r="G19" s="267">
        <f t="shared" si="0"/>
        <v>56072164</v>
      </c>
      <c r="H19" s="259"/>
      <c r="I19" s="271">
        <f>+I102</f>
        <v>11418599</v>
      </c>
      <c r="J19" s="272">
        <f>+J102</f>
        <v>10439524</v>
      </c>
      <c r="K19" s="272">
        <f>+K102</f>
        <v>12992519</v>
      </c>
      <c r="L19" s="272">
        <f>+L102</f>
        <v>12126392</v>
      </c>
      <c r="M19" s="273">
        <f>+M102</f>
        <v>9095130</v>
      </c>
    </row>
    <row r="20" spans="1:13" s="7" customFormat="1" ht="15" customHeight="1" x14ac:dyDescent="0.35">
      <c r="A20" s="922" t="s">
        <v>360</v>
      </c>
      <c r="B20" s="922"/>
      <c r="C20" s="922"/>
      <c r="D20" s="922"/>
      <c r="E20" s="922"/>
      <c r="F20" s="191"/>
      <c r="G20" s="267">
        <f t="shared" si="0"/>
        <v>74112949.342880189</v>
      </c>
      <c r="H20" s="259"/>
      <c r="I20" s="271">
        <v>14552627.3680404</v>
      </c>
      <c r="J20" s="272">
        <v>15267373.074293099</v>
      </c>
      <c r="K20" s="272">
        <v>14958983.645506199</v>
      </c>
      <c r="L20" s="272">
        <v>14617758.239936801</v>
      </c>
      <c r="M20" s="273">
        <v>14716207.0151037</v>
      </c>
    </row>
    <row r="21" spans="1:13" s="7" customFormat="1" ht="15" customHeight="1" x14ac:dyDescent="0.35">
      <c r="A21" s="948" t="s">
        <v>52</v>
      </c>
      <c r="B21" s="948"/>
      <c r="C21" s="948"/>
      <c r="D21" s="948"/>
      <c r="E21" s="948"/>
      <c r="F21" s="191"/>
      <c r="G21" s="267">
        <f t="shared" si="0"/>
        <v>7009047.8003090415</v>
      </c>
      <c r="H21" s="259"/>
      <c r="I21" s="271">
        <v>1671896.9621844599</v>
      </c>
      <c r="J21" s="272">
        <v>1165293.27040911</v>
      </c>
      <c r="K21" s="272">
        <v>1516350.3243215401</v>
      </c>
      <c r="L21" s="272">
        <v>1574909.5727605813</v>
      </c>
      <c r="M21" s="273">
        <v>1080597.67063335</v>
      </c>
    </row>
    <row r="22" spans="1:13" s="7" customFormat="1" ht="15" customHeight="1" x14ac:dyDescent="0.35">
      <c r="A22" s="953" t="s">
        <v>71</v>
      </c>
      <c r="B22" s="954"/>
      <c r="C22" s="954"/>
      <c r="D22" s="954"/>
      <c r="E22" s="955"/>
      <c r="F22" s="191"/>
      <c r="G22" s="267">
        <f t="shared" si="0"/>
        <v>5726350.5582435541</v>
      </c>
      <c r="H22" s="259"/>
      <c r="I22" s="271">
        <v>1451239.6464571401</v>
      </c>
      <c r="J22" s="272">
        <v>935663.22058439301</v>
      </c>
      <c r="K22" s="272">
        <v>972074.24641214299</v>
      </c>
      <c r="L22" s="272">
        <v>1395942.5758559697</v>
      </c>
      <c r="M22" s="273">
        <v>971430.86893390899</v>
      </c>
    </row>
    <row r="23" spans="1:13" s="7" customFormat="1" ht="15" customHeight="1" x14ac:dyDescent="0.35">
      <c r="A23" s="956" t="s">
        <v>349</v>
      </c>
      <c r="B23" s="956"/>
      <c r="C23" s="956"/>
      <c r="D23" s="956"/>
      <c r="E23" s="956"/>
      <c r="F23" s="191"/>
      <c r="G23" s="267">
        <f t="shared" si="0"/>
        <v>569613.79359345837</v>
      </c>
      <c r="H23" s="259"/>
      <c r="I23" s="271">
        <v>70863.571085035801</v>
      </c>
      <c r="J23" s="272">
        <v>43937.995731830597</v>
      </c>
      <c r="K23" s="272">
        <v>13388.632150366901</v>
      </c>
      <c r="L23" s="272">
        <v>388065.80128669698</v>
      </c>
      <c r="M23" s="273">
        <v>53357.7933395281</v>
      </c>
    </row>
    <row r="24" spans="1:13" s="7" customFormat="1" ht="15" customHeight="1" x14ac:dyDescent="0.35">
      <c r="A24" s="922" t="s">
        <v>76</v>
      </c>
      <c r="B24" s="922"/>
      <c r="C24" s="922"/>
      <c r="D24" s="922"/>
      <c r="E24" s="922"/>
      <c r="F24" s="191"/>
      <c r="G24" s="274">
        <f>SUMPRODUCT(I24:M24,I15:M15)/G15</f>
        <v>0.12167438195058987</v>
      </c>
      <c r="H24" s="259"/>
      <c r="I24" s="275">
        <v>0.12413446278569096</v>
      </c>
      <c r="J24" s="276">
        <v>0.10500012980607008</v>
      </c>
      <c r="K24" s="276">
        <v>0.11903166873484081</v>
      </c>
      <c r="L24" s="276">
        <v>0.13200000000000001</v>
      </c>
      <c r="M24" s="277">
        <v>0.1282261112397548</v>
      </c>
    </row>
    <row r="25" spans="1:13" s="7" customFormat="1" ht="15" customHeight="1" x14ac:dyDescent="0.35">
      <c r="A25" s="948" t="s">
        <v>77</v>
      </c>
      <c r="B25" s="948"/>
      <c r="C25" s="948"/>
      <c r="D25" s="948"/>
      <c r="E25" s="948"/>
      <c r="F25" s="193"/>
      <c r="G25" s="278">
        <f>SUMPRODUCT(I25:M25,I15:M15)/G15</f>
        <v>0.10026300873074093</v>
      </c>
      <c r="H25" s="279"/>
      <c r="I25" s="280">
        <v>0.10775117005468748</v>
      </c>
      <c r="J25" s="281">
        <v>8.4309042290817648E-2</v>
      </c>
      <c r="K25" s="281">
        <v>7.6306654094838694E-2</v>
      </c>
      <c r="L25" s="281">
        <v>0.11699999999999999</v>
      </c>
      <c r="M25" s="282">
        <v>0.11527213693570472</v>
      </c>
    </row>
    <row r="26" spans="1:13" ht="12.95" customHeight="1" x14ac:dyDescent="0.35">
      <c r="A26" s="879"/>
      <c r="B26" s="69"/>
      <c r="C26" s="69"/>
      <c r="D26" s="69"/>
      <c r="E26" s="69"/>
      <c r="F26" s="69"/>
      <c r="G26" s="69"/>
      <c r="H26" s="69"/>
      <c r="I26" s="69"/>
      <c r="J26" s="69"/>
      <c r="K26" s="69"/>
      <c r="L26" s="69"/>
      <c r="M26" s="69"/>
    </row>
    <row r="27" spans="1:13" s="3" customFormat="1" ht="15" customHeight="1" x14ac:dyDescent="0.35">
      <c r="A27" s="929" t="s">
        <v>78</v>
      </c>
      <c r="B27" s="930"/>
      <c r="C27" s="930"/>
      <c r="D27" s="930"/>
      <c r="E27" s="931"/>
      <c r="F27" s="177"/>
      <c r="G27" s="194" t="str">
        <f>G$4</f>
        <v>الإجمالي</v>
      </c>
      <c r="H27" s="177"/>
      <c r="I27" s="178" t="str">
        <f>$I$13</f>
        <v>المؤسسة رقم 1</v>
      </c>
      <c r="J27" s="178" t="s">
        <v>67</v>
      </c>
      <c r="K27" s="178" t="s">
        <v>68</v>
      </c>
      <c r="L27" s="178" t="s">
        <v>69</v>
      </c>
      <c r="M27" s="249" t="s">
        <v>70</v>
      </c>
    </row>
    <row r="28" spans="1:13" ht="15" customHeight="1" x14ac:dyDescent="0.35">
      <c r="A28" s="879"/>
      <c r="B28" s="69"/>
      <c r="C28" s="69"/>
      <c r="D28" s="69"/>
      <c r="E28" s="69"/>
      <c r="F28" s="69"/>
      <c r="G28" s="69"/>
      <c r="H28" s="69"/>
      <c r="I28" s="69"/>
      <c r="J28" s="69"/>
      <c r="K28" s="69"/>
      <c r="L28" s="69"/>
      <c r="M28" s="69"/>
    </row>
    <row r="29" spans="1:13" ht="15" customHeight="1" x14ac:dyDescent="0.35">
      <c r="A29" s="879"/>
      <c r="B29" s="922" t="s">
        <v>128</v>
      </c>
      <c r="C29" s="922"/>
      <c r="D29" s="922"/>
      <c r="E29" s="922"/>
      <c r="F29" s="69"/>
      <c r="G29" s="287">
        <f>SUMPRODUCT(I29:M29,I$16:M$16)</f>
        <v>0.37011314344390245</v>
      </c>
      <c r="H29" s="69"/>
      <c r="I29" s="195">
        <f>IF(ISNUMBER(I18/I15),I18/I15,"n.a.")</f>
        <v>0.37395347520139866</v>
      </c>
      <c r="J29" s="196">
        <f>IF(ISNUMBER(J18/J15),J18/J15,"n.a.")</f>
        <v>0.36245784083359145</v>
      </c>
      <c r="K29" s="196">
        <f>IF(ISNUMBER(K18/K15),K18/K15,"n.a.")</f>
        <v>0.2623152172848684</v>
      </c>
      <c r="L29" s="196">
        <f>IF(ISNUMBER(L18/L15),L18/L15,"n.a.")</f>
        <v>0.36256148806784616</v>
      </c>
      <c r="M29" s="250">
        <f>IF(ISNUMBER(M18/M15),M18/M15,"n.a.")</f>
        <v>0.48703923082983586</v>
      </c>
    </row>
    <row r="30" spans="1:13" ht="15" customHeight="1" x14ac:dyDescent="0.35">
      <c r="A30" s="879"/>
      <c r="B30" s="922" t="s">
        <v>130</v>
      </c>
      <c r="C30" s="922"/>
      <c r="D30" s="922"/>
      <c r="E30" s="922"/>
      <c r="F30" s="69"/>
      <c r="G30" s="274">
        <f>SUMPRODUCT(I30:M30,I$16:M$16)</f>
        <v>0.72297745479875242</v>
      </c>
      <c r="H30" s="69"/>
      <c r="I30" s="197">
        <f>IF(ISNUMBER(I18/(I39+I63)),I18/(I39+I63),"n.a.")</f>
        <v>0.73261934171189647</v>
      </c>
      <c r="J30" s="198">
        <f>IF(ISNUMBER(J18/(J39+J63)),J18/(J39+J63),"n.a.")</f>
        <v>0.73325984977773195</v>
      </c>
      <c r="K30" s="198">
        <f>IF(ISNUMBER(K18/(K39+K63)),K18/(K39+K63),"n.a.")</f>
        <v>0.30622245896608574</v>
      </c>
      <c r="L30" s="198">
        <f>IF(ISNUMBER(L18/(L39+L63)),L18/(L39+L63),"n.a.")</f>
        <v>0.82182263487984353</v>
      </c>
      <c r="M30" s="251">
        <f>IF(ISNUMBER(M18/(M39+M63)),M18/(M39+M63),"n.a.")</f>
        <v>1.0106708098597985</v>
      </c>
    </row>
    <row r="31" spans="1:13" ht="15" customHeight="1" x14ac:dyDescent="0.35">
      <c r="A31" s="879"/>
      <c r="B31" s="922" t="s">
        <v>389</v>
      </c>
      <c r="C31" s="922"/>
      <c r="D31" s="922"/>
      <c r="E31" s="922"/>
      <c r="F31" s="936"/>
      <c r="G31" s="274">
        <f>SUMPRODUCT(I31:M31,I$16:M$16)</f>
        <v>0.55918919360660635</v>
      </c>
      <c r="H31" s="69"/>
      <c r="I31" s="197">
        <f>IF(ISNUMBER(I39/I15),I39/I15,"n.a.")</f>
        <v>0.17543026826115038</v>
      </c>
      <c r="J31" s="198">
        <f>IF(ISNUMBER(J38/J15),J38/J15,"n.a.")</f>
        <v>0.68492528318288004</v>
      </c>
      <c r="K31" s="198">
        <f>IF(ISNUMBER(K38/K15),K38/K15,"n.a.")</f>
        <v>0.85800207878353596</v>
      </c>
      <c r="L31" s="198">
        <f>IF(ISNUMBER(L38/L15),L38/L15,"n.a.")</f>
        <v>0.61430379331229323</v>
      </c>
      <c r="M31" s="251">
        <f>IF(ISNUMBER(M38/M15),M38/M15,"n.a.")</f>
        <v>0.48026207330853565</v>
      </c>
    </row>
    <row r="32" spans="1:13" ht="15" customHeight="1" x14ac:dyDescent="0.35">
      <c r="A32" s="879"/>
      <c r="B32" s="922" t="s">
        <v>403</v>
      </c>
      <c r="C32" s="922"/>
      <c r="D32" s="922"/>
      <c r="E32" s="922"/>
      <c r="F32" s="69"/>
      <c r="G32" s="274"/>
      <c r="H32" s="69"/>
      <c r="I32" s="197">
        <f>IF(ISNUMBER(I48/I15),I48/I15,"n.a.")</f>
        <v>0.33910204506301511</v>
      </c>
      <c r="J32" s="198">
        <f>IF(ISNUMBER(J48/J15),J48/J15,"n.a.")</f>
        <v>0.37698918984780505</v>
      </c>
      <c r="K32" s="198">
        <f>IF(ISNUMBER(K48/K15),K48/K15,"n.a.")</f>
        <v>0.38921281380580297</v>
      </c>
      <c r="L32" s="198">
        <f>IF(ISNUMBER(L48/L15),L48/L15,"n.a.")</f>
        <v>0.32857471616461392</v>
      </c>
      <c r="M32" s="251">
        <f>IF(ISNUMBER(M48/M15),M48/M15,"n.a.")</f>
        <v>0.31404262522292786</v>
      </c>
    </row>
    <row r="33" spans="1:13" ht="15" customHeight="1" x14ac:dyDescent="0.35">
      <c r="A33" s="879"/>
      <c r="B33" s="922" t="s">
        <v>404</v>
      </c>
      <c r="C33" s="922"/>
      <c r="D33" s="922"/>
      <c r="E33" s="922"/>
      <c r="F33" s="69"/>
      <c r="G33" s="274"/>
      <c r="H33" s="69"/>
      <c r="I33" s="197">
        <f>IF(ISNUMBER(I59/I15),I59/I15,"n.a.")</f>
        <v>3.1431519397203518E-2</v>
      </c>
      <c r="J33" s="198">
        <f>IF(ISNUMBER(J59/J15),J59/J15,"n.a.")</f>
        <v>2.4973865543705048E-2</v>
      </c>
      <c r="K33" s="198">
        <f>IF(ISNUMBER(K59/K15),K59/K15,"n.a.")</f>
        <v>7.8666598072349315E-3</v>
      </c>
      <c r="L33" s="198">
        <f>IF(ISNUMBER(L59/L15),L59/L15,"n.a.")</f>
        <v>3.6512326807615902E-2</v>
      </c>
      <c r="M33" s="251">
        <f>IF(ISNUMBER(M59/M15),M59/M15,"n.a.")</f>
        <v>2.7632109239566653E-2</v>
      </c>
    </row>
    <row r="34" spans="1:13" ht="15" customHeight="1" x14ac:dyDescent="0.35">
      <c r="A34" s="879"/>
      <c r="B34" s="922" t="s">
        <v>129</v>
      </c>
      <c r="C34" s="922"/>
      <c r="D34" s="922"/>
      <c r="E34" s="922"/>
      <c r="F34" s="69"/>
      <c r="G34" s="278">
        <f>SUMPRODUCT(I34:M34,I$16:M$16)</f>
        <v>1.1117215126362832</v>
      </c>
      <c r="H34" s="69"/>
      <c r="I34" s="199">
        <f>IF(ISNUMBER(I19/I38),I19/I38,"n.a.")</f>
        <v>1.3170964106866059</v>
      </c>
      <c r="J34" s="200">
        <f>IF(ISNUMBER(J19/J38),J19/J38,"n.a.")</f>
        <v>0.9211857050245863</v>
      </c>
      <c r="K34" s="200">
        <f>IF(ISNUMBER(K19/K38),K19/K38,"n.a.")</f>
        <v>0.94954991822982882</v>
      </c>
      <c r="L34" s="200">
        <f>IF(ISNUMBER(L19/L38),L19/L38,"n.a.")</f>
        <v>1.2002108468736619</v>
      </c>
      <c r="M34" s="252">
        <f>IF(ISNUMBER(M19/M38),M19/M38,"n.a.")</f>
        <v>1.1622269325607397</v>
      </c>
    </row>
    <row r="35" spans="1:13" ht="15" customHeight="1" x14ac:dyDescent="0.35">
      <c r="A35" s="879"/>
      <c r="B35" s="201"/>
      <c r="C35" s="69"/>
      <c r="D35" s="69"/>
      <c r="E35" s="69"/>
      <c r="F35" s="69"/>
      <c r="G35" s="69"/>
      <c r="H35" s="69"/>
      <c r="I35" s="202"/>
      <c r="J35" s="202"/>
      <c r="K35" s="202"/>
      <c r="L35" s="202"/>
      <c r="M35" s="202"/>
    </row>
    <row r="36" spans="1:13" ht="15" customHeight="1" x14ac:dyDescent="0.35">
      <c r="A36" s="879"/>
      <c r="B36" s="201"/>
      <c r="C36" s="69"/>
      <c r="D36" s="69"/>
      <c r="E36" s="69"/>
      <c r="F36" s="69"/>
      <c r="G36" s="194" t="str">
        <f>G$4</f>
        <v>الإجمالي</v>
      </c>
      <c r="H36" s="177"/>
      <c r="I36" s="178" t="str">
        <f>$I$13</f>
        <v>المؤسسة رقم 1</v>
      </c>
      <c r="J36" s="178" t="s">
        <v>67</v>
      </c>
      <c r="K36" s="178" t="s">
        <v>68</v>
      </c>
      <c r="L36" s="178" t="s">
        <v>69</v>
      </c>
      <c r="M36" s="249" t="s">
        <v>70</v>
      </c>
    </row>
    <row r="37" spans="1:13" ht="15" customHeight="1" x14ac:dyDescent="0.35">
      <c r="A37" s="879"/>
      <c r="B37" s="201"/>
      <c r="C37" s="69"/>
      <c r="D37" s="69"/>
      <c r="E37" s="69"/>
      <c r="F37" s="69"/>
      <c r="G37" s="69"/>
      <c r="H37" s="202"/>
      <c r="I37" s="202"/>
      <c r="J37" s="202"/>
      <c r="K37" s="202"/>
      <c r="L37" s="202"/>
      <c r="M37" s="202"/>
    </row>
    <row r="38" spans="1:13" ht="15" customHeight="1" x14ac:dyDescent="0.35">
      <c r="A38" s="879"/>
      <c r="B38" s="922" t="s">
        <v>390</v>
      </c>
      <c r="C38" s="922"/>
      <c r="D38" s="922"/>
      <c r="E38" s="922"/>
      <c r="F38" s="69"/>
      <c r="G38" s="258">
        <f t="shared" ref="G38:G45" si="1">SUM(I38:M38)</f>
        <v>51614202.708443768</v>
      </c>
      <c r="H38" s="69"/>
      <c r="I38" s="322">
        <f>I39+I48</f>
        <v>8669524.0434581805</v>
      </c>
      <c r="J38" s="323">
        <f>J39+J48</f>
        <v>11332702.996863559</v>
      </c>
      <c r="K38" s="323">
        <f>K39+K48</f>
        <v>13682818.30219198</v>
      </c>
      <c r="L38" s="323">
        <f>L39+L48</f>
        <v>10103551.414809421</v>
      </c>
      <c r="M38" s="324">
        <f>M39+M48</f>
        <v>7825605.9511206308</v>
      </c>
    </row>
    <row r="39" spans="1:13" ht="15" customHeight="1" x14ac:dyDescent="0.35">
      <c r="A39" s="879"/>
      <c r="B39" s="69"/>
      <c r="C39" s="919" t="s">
        <v>53</v>
      </c>
      <c r="D39" s="920"/>
      <c r="E39" s="921"/>
      <c r="F39" s="69"/>
      <c r="G39" s="267">
        <f t="shared" si="1"/>
        <v>22934770.608443771</v>
      </c>
      <c r="H39" s="69"/>
      <c r="I39" s="325">
        <f>I40+I43</f>
        <v>2955882.2434581802</v>
      </c>
      <c r="J39" s="326">
        <f>J40+J43</f>
        <v>5095078.7968635596</v>
      </c>
      <c r="K39" s="326">
        <f>K40+K43</f>
        <v>7475924.0021919804</v>
      </c>
      <c r="L39" s="326">
        <f>L40+L43</f>
        <v>4699431.2148094196</v>
      </c>
      <c r="M39" s="327">
        <f>M40+M43</f>
        <v>2708454.3511206312</v>
      </c>
    </row>
    <row r="40" spans="1:13" ht="15" customHeight="1" x14ac:dyDescent="0.35">
      <c r="A40" s="879"/>
      <c r="B40" s="69"/>
      <c r="C40" s="205"/>
      <c r="D40" s="206" t="s">
        <v>79</v>
      </c>
      <c r="E40" s="207"/>
      <c r="F40" s="69"/>
      <c r="G40" s="267">
        <f t="shared" si="1"/>
        <v>13760862.365066262</v>
      </c>
      <c r="H40" s="69"/>
      <c r="I40" s="328">
        <f>I41+I42</f>
        <v>1773529.346074908</v>
      </c>
      <c r="J40" s="329">
        <f>J41+J42</f>
        <v>3057047.2781181359</v>
      </c>
      <c r="K40" s="329">
        <f>K41+K42</f>
        <v>4485554.401315188</v>
      </c>
      <c r="L40" s="329">
        <f>L41+L42</f>
        <v>2819658.7288856516</v>
      </c>
      <c r="M40" s="330">
        <f>M41+M42</f>
        <v>1625072.6106723789</v>
      </c>
    </row>
    <row r="41" spans="1:13" ht="15" customHeight="1" x14ac:dyDescent="0.35">
      <c r="A41" s="879"/>
      <c r="B41" s="69"/>
      <c r="C41" s="205"/>
      <c r="D41" s="206"/>
      <c r="E41" s="207" t="s">
        <v>81</v>
      </c>
      <c r="F41" s="186"/>
      <c r="G41" s="267">
        <f t="shared" si="1"/>
        <v>2752172.4730132525</v>
      </c>
      <c r="H41" s="186"/>
      <c r="I41" s="290">
        <v>354705.86921498162</v>
      </c>
      <c r="J41" s="291">
        <v>611409.45562362717</v>
      </c>
      <c r="K41" s="291">
        <v>897110.88026303763</v>
      </c>
      <c r="L41" s="291">
        <v>563931.74577713036</v>
      </c>
      <c r="M41" s="292">
        <v>325014.52213447576</v>
      </c>
    </row>
    <row r="42" spans="1:13" ht="15" customHeight="1" x14ac:dyDescent="0.35">
      <c r="A42" s="879"/>
      <c r="B42" s="69"/>
      <c r="C42" s="205"/>
      <c r="D42" s="206"/>
      <c r="E42" s="207" t="s">
        <v>313</v>
      </c>
      <c r="F42" s="186"/>
      <c r="G42" s="267">
        <f t="shared" si="1"/>
        <v>11008689.89205301</v>
      </c>
      <c r="H42" s="186"/>
      <c r="I42" s="290">
        <v>1418823.4768599265</v>
      </c>
      <c r="J42" s="291">
        <v>2445637.8224945087</v>
      </c>
      <c r="K42" s="291">
        <v>3588443.5210521505</v>
      </c>
      <c r="L42" s="291">
        <v>2255726.9831085214</v>
      </c>
      <c r="M42" s="292">
        <v>1300058.088537903</v>
      </c>
    </row>
    <row r="43" spans="1:13" ht="15" customHeight="1" x14ac:dyDescent="0.35">
      <c r="A43" s="879"/>
      <c r="B43" s="69"/>
      <c r="C43" s="205"/>
      <c r="D43" s="283" t="s">
        <v>80</v>
      </c>
      <c r="E43" s="207"/>
      <c r="F43" s="186"/>
      <c r="G43" s="267">
        <f t="shared" si="1"/>
        <v>9173908.2433775086</v>
      </c>
      <c r="H43" s="186"/>
      <c r="I43" s="328">
        <f>I44+I45</f>
        <v>1182352.8973832722</v>
      </c>
      <c r="J43" s="329">
        <f>J44+J45</f>
        <v>2038031.5187454242</v>
      </c>
      <c r="K43" s="329">
        <f>K44+K45</f>
        <v>2990369.6008767923</v>
      </c>
      <c r="L43" s="329">
        <f>L44+L45</f>
        <v>1879772.485923768</v>
      </c>
      <c r="M43" s="330">
        <f>M44+M45</f>
        <v>1083381.7404482525</v>
      </c>
    </row>
    <row r="44" spans="1:13" ht="15" customHeight="1" x14ac:dyDescent="0.35">
      <c r="A44" s="879"/>
      <c r="B44" s="69"/>
      <c r="C44" s="205"/>
      <c r="D44" s="206"/>
      <c r="E44" s="207" t="s">
        <v>81</v>
      </c>
      <c r="F44" s="186"/>
      <c r="G44" s="267">
        <f t="shared" si="1"/>
        <v>1834781.6486755018</v>
      </c>
      <c r="H44" s="186"/>
      <c r="I44" s="290">
        <v>236470.57947665444</v>
      </c>
      <c r="J44" s="291">
        <v>407606.30374908482</v>
      </c>
      <c r="K44" s="291">
        <v>598073.92017535854</v>
      </c>
      <c r="L44" s="291">
        <v>375954.49718475365</v>
      </c>
      <c r="M44" s="292">
        <v>216676.34808965051</v>
      </c>
    </row>
    <row r="45" spans="1:13" ht="15" customHeight="1" x14ac:dyDescent="0.35">
      <c r="A45" s="879"/>
      <c r="B45" s="69"/>
      <c r="C45" s="205"/>
      <c r="D45" s="206"/>
      <c r="E45" s="207" t="s">
        <v>313</v>
      </c>
      <c r="F45" s="186"/>
      <c r="G45" s="267">
        <f t="shared" si="1"/>
        <v>7339126.5947020072</v>
      </c>
      <c r="H45" s="186"/>
      <c r="I45" s="290">
        <v>945882.31790661777</v>
      </c>
      <c r="J45" s="291">
        <v>1630425.2149963393</v>
      </c>
      <c r="K45" s="291">
        <v>2392295.6807014337</v>
      </c>
      <c r="L45" s="291">
        <v>1503817.9887390144</v>
      </c>
      <c r="M45" s="292">
        <v>866705.39235860202</v>
      </c>
    </row>
    <row r="46" spans="1:13" ht="15" customHeight="1" x14ac:dyDescent="0.35">
      <c r="A46" s="879"/>
      <c r="B46" s="69"/>
      <c r="C46" s="937"/>
      <c r="D46" s="938"/>
      <c r="E46" s="939"/>
      <c r="F46" s="186"/>
      <c r="G46" s="296"/>
      <c r="H46" s="186"/>
      <c r="I46" s="297"/>
      <c r="J46" s="298"/>
      <c r="K46" s="298"/>
      <c r="L46" s="298"/>
      <c r="M46" s="299"/>
    </row>
    <row r="47" spans="1:13" s="8" customFormat="1" ht="15" customHeight="1" x14ac:dyDescent="0.35">
      <c r="A47" s="202"/>
      <c r="B47" s="202"/>
      <c r="C47" s="202"/>
      <c r="D47" s="202"/>
      <c r="E47" s="202"/>
      <c r="F47" s="212"/>
      <c r="G47" s="202"/>
      <c r="H47" s="212"/>
      <c r="I47" s="285"/>
      <c r="J47" s="285"/>
      <c r="K47" s="285"/>
      <c r="L47" s="285"/>
      <c r="M47" s="285"/>
    </row>
    <row r="48" spans="1:13" ht="15" customHeight="1" x14ac:dyDescent="0.35">
      <c r="A48" s="879"/>
      <c r="B48" s="69"/>
      <c r="C48" s="919" t="s">
        <v>391</v>
      </c>
      <c r="D48" s="920"/>
      <c r="E48" s="921"/>
      <c r="F48" s="186"/>
      <c r="G48" s="258">
        <f>G49+G52</f>
        <v>28679432.100000001</v>
      </c>
      <c r="H48" s="69"/>
      <c r="I48" s="331">
        <f>+I49+I52</f>
        <v>5713641.7999999998</v>
      </c>
      <c r="J48" s="332">
        <f>+J49+J52</f>
        <v>6237624.2000000002</v>
      </c>
      <c r="K48" s="332">
        <f>+K49+K52</f>
        <v>6206894.2999999998</v>
      </c>
      <c r="L48" s="332">
        <f>+L49+L52</f>
        <v>5404120.2000000002</v>
      </c>
      <c r="M48" s="333">
        <f>+M49+M52</f>
        <v>5117151.5999999996</v>
      </c>
    </row>
    <row r="49" spans="1:13" ht="15" customHeight="1" x14ac:dyDescent="0.35">
      <c r="A49" s="879"/>
      <c r="B49" s="69"/>
      <c r="C49" s="205"/>
      <c r="D49" s="916" t="s">
        <v>392</v>
      </c>
      <c r="E49" s="917"/>
      <c r="F49" s="69"/>
      <c r="G49" s="267">
        <f>SUM(I49:M49)</f>
        <v>9592602</v>
      </c>
      <c r="H49" s="69"/>
      <c r="I49" s="334">
        <v>2199419</v>
      </c>
      <c r="J49" s="335">
        <v>2686470</v>
      </c>
      <c r="K49" s="335">
        <v>1442448</v>
      </c>
      <c r="L49" s="335">
        <v>2221110</v>
      </c>
      <c r="M49" s="336">
        <v>1043155</v>
      </c>
    </row>
    <row r="50" spans="1:13" ht="15" customHeight="1" x14ac:dyDescent="0.35">
      <c r="A50" s="879"/>
      <c r="B50" s="69"/>
      <c r="C50" s="205"/>
      <c r="D50" s="206"/>
      <c r="E50" s="207" t="s">
        <v>81</v>
      </c>
      <c r="F50" s="69"/>
      <c r="G50" s="267"/>
      <c r="H50" s="69"/>
      <c r="I50" s="290">
        <f>0.3*I49</f>
        <v>659825.69999999995</v>
      </c>
      <c r="J50" s="291">
        <f>0.3*J49</f>
        <v>805941</v>
      </c>
      <c r="K50" s="291">
        <f>0.3*K49</f>
        <v>432734.39999999997</v>
      </c>
      <c r="L50" s="291">
        <f>0.3*L49</f>
        <v>666333</v>
      </c>
      <c r="M50" s="292">
        <f>0.3*M49</f>
        <v>312946.5</v>
      </c>
    </row>
    <row r="51" spans="1:13" ht="15" customHeight="1" x14ac:dyDescent="0.35">
      <c r="A51" s="879"/>
      <c r="B51" s="69"/>
      <c r="C51" s="205"/>
      <c r="D51" s="206"/>
      <c r="E51" s="207" t="s">
        <v>313</v>
      </c>
      <c r="F51" s="69"/>
      <c r="G51" s="267"/>
      <c r="H51" s="69"/>
      <c r="I51" s="290">
        <f>+I49-I50</f>
        <v>1539593.3</v>
      </c>
      <c r="J51" s="291">
        <f>+J49-J50</f>
        <v>1880529</v>
      </c>
      <c r="K51" s="291">
        <f>+K49-K50</f>
        <v>1009713.6000000001</v>
      </c>
      <c r="L51" s="291">
        <f>+L49-L50</f>
        <v>1554777</v>
      </c>
      <c r="M51" s="292">
        <f>+M49-M50</f>
        <v>730208.5</v>
      </c>
    </row>
    <row r="52" spans="1:13" ht="15" customHeight="1" x14ac:dyDescent="0.35">
      <c r="A52" s="879"/>
      <c r="B52" s="69"/>
      <c r="C52" s="205"/>
      <c r="D52" s="916" t="s">
        <v>348</v>
      </c>
      <c r="E52" s="917"/>
      <c r="F52" s="69"/>
      <c r="G52" s="267">
        <f>SUM(I52:M52)</f>
        <v>19086830.100000001</v>
      </c>
      <c r="H52" s="69"/>
      <c r="I52" s="337">
        <f>+SUM(I53:I57)</f>
        <v>3514222.8</v>
      </c>
      <c r="J52" s="338">
        <f>+SUM(J53:J57)</f>
        <v>3551154.2</v>
      </c>
      <c r="K52" s="338">
        <f>+SUM(K53:K57)</f>
        <v>4764446.3</v>
      </c>
      <c r="L52" s="338">
        <f>+SUM(L53:L57)</f>
        <v>3183010.2</v>
      </c>
      <c r="M52" s="339">
        <f>+SUM(M53:M57)</f>
        <v>4073996.6</v>
      </c>
    </row>
    <row r="53" spans="1:13" ht="15" customHeight="1" x14ac:dyDescent="0.35">
      <c r="A53" s="879"/>
      <c r="B53" s="69"/>
      <c r="C53" s="205"/>
      <c r="D53" s="206"/>
      <c r="E53" s="207" t="s">
        <v>369</v>
      </c>
      <c r="F53" s="69"/>
      <c r="G53" s="192"/>
      <c r="H53" s="69"/>
      <c r="I53" s="290">
        <v>810902</v>
      </c>
      <c r="J53" s="291">
        <v>990835.19999999995</v>
      </c>
      <c r="K53" s="291">
        <v>2006791.6</v>
      </c>
      <c r="L53" s="291">
        <v>915377.60000000009</v>
      </c>
      <c r="M53" s="292">
        <v>1446904.8</v>
      </c>
    </row>
    <row r="54" spans="1:13" ht="15" customHeight="1" x14ac:dyDescent="0.35">
      <c r="A54" s="879"/>
      <c r="B54" s="69"/>
      <c r="C54" s="205"/>
      <c r="D54" s="206"/>
      <c r="E54" s="207" t="s">
        <v>19</v>
      </c>
      <c r="F54" s="69"/>
      <c r="G54" s="192"/>
      <c r="H54" s="69"/>
      <c r="I54" s="290">
        <v>270947</v>
      </c>
      <c r="J54" s="291">
        <v>347628</v>
      </c>
      <c r="K54" s="291">
        <v>378254</v>
      </c>
      <c r="L54" s="291">
        <v>228844.40000000002</v>
      </c>
      <c r="M54" s="292">
        <v>361726.2</v>
      </c>
    </row>
    <row r="55" spans="1:13" ht="15" customHeight="1" x14ac:dyDescent="0.35">
      <c r="A55" s="879"/>
      <c r="B55" s="69"/>
      <c r="C55" s="205"/>
      <c r="D55" s="206"/>
      <c r="E55" s="207" t="s">
        <v>83</v>
      </c>
      <c r="F55" s="69"/>
      <c r="G55" s="192"/>
      <c r="H55" s="69"/>
      <c r="I55" s="290">
        <v>313988.40000000002</v>
      </c>
      <c r="J55" s="291">
        <v>123749</v>
      </c>
      <c r="K55" s="291">
        <v>258840</v>
      </c>
      <c r="L55" s="291">
        <v>114422.20000000001</v>
      </c>
      <c r="M55" s="292">
        <v>180452</v>
      </c>
    </row>
    <row r="56" spans="1:13" ht="15" customHeight="1" x14ac:dyDescent="0.35">
      <c r="A56" s="879"/>
      <c r="B56" s="69"/>
      <c r="C56" s="205"/>
      <c r="D56" s="206"/>
      <c r="E56" s="284" t="s">
        <v>99</v>
      </c>
      <c r="F56" s="69"/>
      <c r="G56" s="192"/>
      <c r="H56" s="69"/>
      <c r="I56" s="290">
        <v>883930.4</v>
      </c>
      <c r="J56" s="291">
        <v>1012376</v>
      </c>
      <c r="K56" s="291">
        <v>1133093.7</v>
      </c>
      <c r="L56" s="291">
        <v>1026800</v>
      </c>
      <c r="M56" s="292">
        <v>1628178.6</v>
      </c>
    </row>
    <row r="57" spans="1:13" ht="15" customHeight="1" x14ac:dyDescent="0.35">
      <c r="A57" s="879"/>
      <c r="B57" s="69"/>
      <c r="C57" s="214"/>
      <c r="D57" s="215"/>
      <c r="E57" s="216" t="s">
        <v>20</v>
      </c>
      <c r="F57" s="69"/>
      <c r="G57" s="217"/>
      <c r="H57" s="69"/>
      <c r="I57" s="297">
        <v>1234455</v>
      </c>
      <c r="J57" s="298">
        <v>1076566</v>
      </c>
      <c r="K57" s="298">
        <v>987467</v>
      </c>
      <c r="L57" s="298">
        <v>897566</v>
      </c>
      <c r="M57" s="299">
        <v>456735</v>
      </c>
    </row>
    <row r="58" spans="1:13" ht="15" customHeight="1" x14ac:dyDescent="0.35">
      <c r="A58" s="879"/>
      <c r="B58" s="69"/>
      <c r="C58" s="69"/>
      <c r="D58" s="69"/>
      <c r="E58" s="69"/>
      <c r="F58" s="69"/>
      <c r="G58" s="176"/>
      <c r="H58" s="176"/>
      <c r="I58" s="176"/>
      <c r="J58" s="176"/>
      <c r="K58" s="176"/>
      <c r="L58" s="176"/>
      <c r="M58" s="176"/>
    </row>
    <row r="59" spans="1:13" ht="15" customHeight="1" x14ac:dyDescent="0.35">
      <c r="A59" s="879"/>
      <c r="B59" s="191" t="s">
        <v>393</v>
      </c>
      <c r="C59" s="69"/>
      <c r="D59" s="69"/>
      <c r="E59" s="69"/>
      <c r="F59" s="186"/>
      <c r="G59" s="258">
        <f>SUM(I59:M59)</f>
        <v>2119041</v>
      </c>
      <c r="H59" s="69"/>
      <c r="I59" s="340">
        <v>529600</v>
      </c>
      <c r="J59" s="341">
        <v>413215</v>
      </c>
      <c r="K59" s="341">
        <v>125452</v>
      </c>
      <c r="L59" s="341">
        <v>600524</v>
      </c>
      <c r="M59" s="342">
        <v>450250</v>
      </c>
    </row>
    <row r="60" spans="1:13" ht="15" customHeight="1" x14ac:dyDescent="0.35">
      <c r="A60" s="879"/>
      <c r="B60" s="69"/>
      <c r="C60" s="919" t="s">
        <v>394</v>
      </c>
      <c r="D60" s="920"/>
      <c r="E60" s="921"/>
      <c r="F60" s="186"/>
      <c r="G60" s="267">
        <f>SUM(I60:M60)</f>
        <v>21190.41</v>
      </c>
      <c r="H60" s="69"/>
      <c r="I60" s="293">
        <v>5296</v>
      </c>
      <c r="J60" s="294">
        <v>4132.1499999999996</v>
      </c>
      <c r="K60" s="294">
        <v>1254.52</v>
      </c>
      <c r="L60" s="294">
        <v>6005.24</v>
      </c>
      <c r="M60" s="295">
        <v>4502.5</v>
      </c>
    </row>
    <row r="61" spans="1:13" ht="15" customHeight="1" x14ac:dyDescent="0.35">
      <c r="A61" s="879"/>
      <c r="B61" s="69"/>
      <c r="C61" s="932" t="s">
        <v>395</v>
      </c>
      <c r="D61" s="933"/>
      <c r="E61" s="934"/>
      <c r="F61" s="186"/>
      <c r="G61" s="296">
        <f>SUM(I61:M61)</f>
        <v>211904.1</v>
      </c>
      <c r="H61" s="69"/>
      <c r="I61" s="343">
        <v>52960</v>
      </c>
      <c r="J61" s="344">
        <v>41321.5</v>
      </c>
      <c r="K61" s="344">
        <v>12545.2</v>
      </c>
      <c r="L61" s="344">
        <v>60052.4</v>
      </c>
      <c r="M61" s="345">
        <v>45025</v>
      </c>
    </row>
    <row r="62" spans="1:13" ht="15" customHeight="1" x14ac:dyDescent="0.35">
      <c r="A62" s="879"/>
      <c r="B62" s="69"/>
      <c r="C62" s="69"/>
      <c r="D62" s="69"/>
      <c r="E62" s="69"/>
      <c r="F62" s="186"/>
      <c r="G62" s="218"/>
      <c r="H62" s="69"/>
      <c r="I62" s="285"/>
      <c r="J62" s="285"/>
      <c r="K62" s="285"/>
      <c r="L62" s="285"/>
      <c r="M62" s="285"/>
    </row>
    <row r="63" spans="1:13" ht="15" customHeight="1" x14ac:dyDescent="0.35">
      <c r="A63" s="879"/>
      <c r="B63" s="935" t="s">
        <v>21</v>
      </c>
      <c r="C63" s="935"/>
      <c r="D63" s="935"/>
      <c r="E63" s="935"/>
      <c r="F63" s="69"/>
      <c r="G63" s="301">
        <f>SUM(G64:G71)</f>
        <v>22613418.628675736</v>
      </c>
      <c r="H63" s="69"/>
      <c r="I63" s="346">
        <f>I64+I71</f>
        <v>5644580.0174437761</v>
      </c>
      <c r="J63" s="347">
        <f>J64+J71</f>
        <v>3083727.12278128</v>
      </c>
      <c r="K63" s="347">
        <f>K64+K71</f>
        <v>6184798.3828480197</v>
      </c>
      <c r="L63" s="347">
        <f>L64+L71</f>
        <v>2556521.282619481</v>
      </c>
      <c r="M63" s="348">
        <f>M64+M71</f>
        <v>5143791.8229831774</v>
      </c>
    </row>
    <row r="64" spans="1:13" ht="15" customHeight="1" x14ac:dyDescent="0.35">
      <c r="A64" s="879"/>
      <c r="B64" s="69"/>
      <c r="C64" s="219" t="s">
        <v>84</v>
      </c>
      <c r="D64" s="203"/>
      <c r="E64" s="204"/>
      <c r="F64" s="69"/>
      <c r="G64" s="267">
        <f>SUM(I64:M64)</f>
        <v>568019</v>
      </c>
      <c r="H64" s="69"/>
      <c r="I64" s="337">
        <f>+I65+I66</f>
        <v>14568</v>
      </c>
      <c r="J64" s="338">
        <f>+J65+J66</f>
        <v>94935</v>
      </c>
      <c r="K64" s="338">
        <f>+K65+K66</f>
        <v>107912</v>
      </c>
      <c r="L64" s="338">
        <f>+L65+L66</f>
        <v>21594</v>
      </c>
      <c r="M64" s="339">
        <f>+M65+M66</f>
        <v>329010</v>
      </c>
    </row>
    <row r="65" spans="1:13" ht="15" customHeight="1" x14ac:dyDescent="0.35">
      <c r="A65" s="879"/>
      <c r="B65" s="69"/>
      <c r="C65" s="205"/>
      <c r="D65" s="206"/>
      <c r="E65" s="207" t="s">
        <v>409</v>
      </c>
      <c r="F65" s="69"/>
      <c r="G65" s="267"/>
      <c r="H65" s="69"/>
      <c r="I65" s="290">
        <v>8976</v>
      </c>
      <c r="J65" s="291">
        <v>75765</v>
      </c>
      <c r="K65" s="291">
        <v>100765</v>
      </c>
      <c r="L65" s="291">
        <v>15667</v>
      </c>
      <c r="M65" s="292">
        <v>127885</v>
      </c>
    </row>
    <row r="66" spans="1:13" ht="15" customHeight="1" x14ac:dyDescent="0.35">
      <c r="A66" s="879"/>
      <c r="B66" s="69"/>
      <c r="C66" s="205"/>
      <c r="D66" s="206"/>
      <c r="E66" s="207" t="s">
        <v>410</v>
      </c>
      <c r="F66" s="69"/>
      <c r="G66" s="267"/>
      <c r="H66" s="69"/>
      <c r="I66" s="290">
        <v>5592</v>
      </c>
      <c r="J66" s="291">
        <v>19170</v>
      </c>
      <c r="K66" s="291">
        <v>7147</v>
      </c>
      <c r="L66" s="291">
        <v>5927</v>
      </c>
      <c r="M66" s="292">
        <v>201125</v>
      </c>
    </row>
    <row r="67" spans="1:13" ht="30" customHeight="1" x14ac:dyDescent="0.35">
      <c r="A67" s="879"/>
      <c r="B67" s="69"/>
      <c r="C67" s="205"/>
      <c r="D67" s="206"/>
      <c r="E67" s="880" t="s">
        <v>428</v>
      </c>
      <c r="F67" s="69"/>
      <c r="G67" s="267"/>
      <c r="H67" s="69"/>
      <c r="I67" s="290"/>
      <c r="J67" s="291"/>
      <c r="K67" s="291"/>
      <c r="L67" s="291"/>
      <c r="M67" s="292"/>
    </row>
    <row r="68" spans="1:13" ht="15" customHeight="1" x14ac:dyDescent="0.35">
      <c r="A68" s="879"/>
      <c r="B68" s="69"/>
      <c r="C68" s="205"/>
      <c r="D68" s="206"/>
      <c r="E68" s="213" t="s">
        <v>412</v>
      </c>
      <c r="F68" s="69"/>
      <c r="G68" s="267"/>
      <c r="H68" s="69"/>
      <c r="I68" s="290"/>
      <c r="J68" s="291"/>
      <c r="K68" s="291"/>
      <c r="L68" s="291"/>
      <c r="M68" s="292"/>
    </row>
    <row r="69" spans="1:13" ht="15" customHeight="1" x14ac:dyDescent="0.35">
      <c r="A69" s="879"/>
      <c r="B69" s="69"/>
      <c r="C69" s="205"/>
      <c r="D69" s="206"/>
      <c r="E69" s="213" t="s">
        <v>429</v>
      </c>
      <c r="F69" s="69"/>
      <c r="G69" s="267"/>
      <c r="H69" s="69"/>
      <c r="I69" s="290"/>
      <c r="J69" s="291"/>
      <c r="K69" s="291"/>
      <c r="L69" s="291"/>
      <c r="M69" s="292"/>
    </row>
    <row r="70" spans="1:13" ht="15" customHeight="1" x14ac:dyDescent="0.35">
      <c r="A70" s="879"/>
      <c r="B70" s="69"/>
      <c r="C70" s="205"/>
      <c r="D70" s="206"/>
      <c r="E70" s="207" t="s">
        <v>123</v>
      </c>
      <c r="F70" s="69"/>
      <c r="G70" s="267"/>
      <c r="H70" s="69"/>
      <c r="I70" s="290"/>
      <c r="J70" s="291"/>
      <c r="K70" s="291"/>
      <c r="L70" s="291"/>
      <c r="M70" s="292"/>
    </row>
    <row r="71" spans="1:13" ht="15" customHeight="1" x14ac:dyDescent="0.35">
      <c r="A71" s="879"/>
      <c r="B71" s="69"/>
      <c r="C71" s="926" t="s">
        <v>88</v>
      </c>
      <c r="D71" s="927"/>
      <c r="E71" s="928"/>
      <c r="F71" s="69"/>
      <c r="G71" s="296">
        <f>SUM(I71:M71)</f>
        <v>22045399.628675736</v>
      </c>
      <c r="H71" s="69"/>
      <c r="I71" s="349">
        <v>5630012.0174437761</v>
      </c>
      <c r="J71" s="350">
        <v>2988792.12278128</v>
      </c>
      <c r="K71" s="350">
        <v>6076886.3828480197</v>
      </c>
      <c r="L71" s="350">
        <v>2534927.282619481</v>
      </c>
      <c r="M71" s="351">
        <v>4814781.8229831774</v>
      </c>
    </row>
    <row r="72" spans="1:13" ht="15" customHeight="1" x14ac:dyDescent="0.35">
      <c r="A72" s="879"/>
      <c r="B72" s="69"/>
      <c r="C72" s="156"/>
      <c r="D72" s="69"/>
      <c r="E72" s="69"/>
      <c r="F72" s="69"/>
      <c r="G72" s="186"/>
      <c r="H72" s="69"/>
      <c r="I72" s="69"/>
      <c r="J72" s="69"/>
      <c r="K72" s="69"/>
      <c r="L72" s="69"/>
      <c r="M72" s="69"/>
    </row>
    <row r="73" spans="1:13" ht="15" customHeight="1" x14ac:dyDescent="0.35">
      <c r="A73" s="879"/>
      <c r="B73" s="922" t="s">
        <v>362</v>
      </c>
      <c r="C73" s="922"/>
      <c r="D73" s="922"/>
      <c r="E73" s="922"/>
      <c r="F73" s="69"/>
      <c r="G73" s="300">
        <f>SUM(I73:M73)</f>
        <v>0</v>
      </c>
      <c r="H73" s="69"/>
      <c r="I73" s="352">
        <v>0</v>
      </c>
      <c r="J73" s="353">
        <v>0</v>
      </c>
      <c r="K73" s="353">
        <v>0</v>
      </c>
      <c r="L73" s="353">
        <v>0</v>
      </c>
      <c r="M73" s="354">
        <v>0</v>
      </c>
    </row>
    <row r="74" spans="1:13" ht="15" customHeight="1" x14ac:dyDescent="0.35">
      <c r="A74" s="879"/>
      <c r="B74" s="191"/>
      <c r="C74" s="191"/>
      <c r="D74" s="191"/>
      <c r="E74" s="286"/>
      <c r="F74" s="69"/>
      <c r="G74" s="187"/>
      <c r="H74" s="69"/>
      <c r="I74" s="187"/>
      <c r="J74" s="187"/>
      <c r="K74" s="187"/>
      <c r="L74" s="187"/>
      <c r="M74" s="187"/>
    </row>
    <row r="75" spans="1:13" ht="15" customHeight="1" x14ac:dyDescent="0.35">
      <c r="A75" s="879"/>
      <c r="B75" s="922" t="s">
        <v>90</v>
      </c>
      <c r="C75" s="922"/>
      <c r="D75" s="922"/>
      <c r="E75" s="922"/>
      <c r="F75" s="69"/>
      <c r="G75" s="300">
        <f>SUM(I75:M75)</f>
        <v>0</v>
      </c>
      <c r="H75" s="69"/>
      <c r="I75" s="352">
        <v>0</v>
      </c>
      <c r="J75" s="353">
        <v>0</v>
      </c>
      <c r="K75" s="353">
        <v>0</v>
      </c>
      <c r="L75" s="353">
        <v>0</v>
      </c>
      <c r="M75" s="354">
        <v>0</v>
      </c>
    </row>
    <row r="76" spans="1:13" ht="15" customHeight="1" x14ac:dyDescent="0.35">
      <c r="A76" s="879"/>
      <c r="B76" s="69"/>
      <c r="C76" s="156"/>
      <c r="D76" s="69"/>
      <c r="E76"/>
      <c r="F76" s="69"/>
      <c r="G76" s="288"/>
      <c r="H76" s="69"/>
      <c r="I76" s="187"/>
      <c r="J76" s="187"/>
      <c r="K76" s="187"/>
      <c r="L76" s="187"/>
      <c r="M76" s="187"/>
    </row>
    <row r="77" spans="1:13" ht="15" customHeight="1" x14ac:dyDescent="0.35">
      <c r="A77" s="879"/>
      <c r="B77" s="922" t="s">
        <v>54</v>
      </c>
      <c r="C77" s="922"/>
      <c r="D77" s="922"/>
      <c r="E77" s="922"/>
      <c r="F77" s="69"/>
      <c r="G77" s="258">
        <f>SUM(I77:M77)</f>
        <v>5481171</v>
      </c>
      <c r="H77" s="69"/>
      <c r="I77" s="355">
        <f>+I78+I79</f>
        <v>619801</v>
      </c>
      <c r="J77" s="356">
        <f>+J78+J79</f>
        <v>944451</v>
      </c>
      <c r="K77" s="356">
        <f>+K78+K79</f>
        <v>1298261</v>
      </c>
      <c r="L77" s="356">
        <f>+L78+L79</f>
        <v>1993290</v>
      </c>
      <c r="M77" s="357">
        <f>+M78+M79</f>
        <v>625368</v>
      </c>
    </row>
    <row r="78" spans="1:13" ht="15" customHeight="1" x14ac:dyDescent="0.35">
      <c r="A78" s="879"/>
      <c r="B78" s="69"/>
      <c r="C78" s="923" t="s">
        <v>55</v>
      </c>
      <c r="D78" s="924"/>
      <c r="E78" s="925"/>
      <c r="F78" s="69"/>
      <c r="G78" s="267">
        <f>SUM(I78:M78)</f>
        <v>3766698</v>
      </c>
      <c r="H78" s="69"/>
      <c r="I78" s="290">
        <v>415000</v>
      </c>
      <c r="J78" s="291">
        <v>850244</v>
      </c>
      <c r="K78" s="291">
        <v>750545</v>
      </c>
      <c r="L78" s="291">
        <v>1300234</v>
      </c>
      <c r="M78" s="292">
        <v>450675</v>
      </c>
    </row>
    <row r="79" spans="1:13" ht="15" customHeight="1" x14ac:dyDescent="0.35">
      <c r="A79" s="879"/>
      <c r="B79" s="69"/>
      <c r="C79" s="915" t="s">
        <v>56</v>
      </c>
      <c r="D79" s="916"/>
      <c r="E79" s="917"/>
      <c r="F79" s="69"/>
      <c r="G79" s="267">
        <f>SUM(I79:M79)</f>
        <v>1714473</v>
      </c>
      <c r="H79" s="69"/>
      <c r="I79" s="318">
        <f>SUM(I80:I82)</f>
        <v>204801</v>
      </c>
      <c r="J79" s="319">
        <f>SUM(J80:J82)</f>
        <v>94207</v>
      </c>
      <c r="K79" s="319">
        <f>SUM(K80:K82)</f>
        <v>547716</v>
      </c>
      <c r="L79" s="319">
        <f>SUM(L80:L82)</f>
        <v>693056</v>
      </c>
      <c r="M79" s="320">
        <f>SUM(M80:M82)</f>
        <v>174693</v>
      </c>
    </row>
    <row r="80" spans="1:13" ht="15" customHeight="1" x14ac:dyDescent="0.35">
      <c r="A80" s="879"/>
      <c r="B80" s="69"/>
      <c r="C80" s="205"/>
      <c r="D80" s="206" t="s">
        <v>57</v>
      </c>
      <c r="E80" s="207"/>
      <c r="F80" s="69"/>
      <c r="G80" s="267"/>
      <c r="H80" s="69"/>
      <c r="I80" s="290">
        <v>204801</v>
      </c>
      <c r="J80" s="291">
        <v>94207</v>
      </c>
      <c r="K80" s="291">
        <v>547716</v>
      </c>
      <c r="L80" s="291">
        <v>693056</v>
      </c>
      <c r="M80" s="292">
        <v>174693</v>
      </c>
    </row>
    <row r="81" spans="1:13" ht="15" customHeight="1" x14ac:dyDescent="0.35">
      <c r="A81" s="879"/>
      <c r="B81" s="69"/>
      <c r="C81" s="205"/>
      <c r="D81" s="206" t="s">
        <v>58</v>
      </c>
      <c r="E81" s="207"/>
      <c r="F81" s="69"/>
      <c r="G81" s="267">
        <f>SUM(I81:M81)</f>
        <v>0</v>
      </c>
      <c r="H81" s="69"/>
      <c r="I81" s="290"/>
      <c r="J81" s="291"/>
      <c r="K81" s="291"/>
      <c r="L81" s="291"/>
      <c r="M81" s="292"/>
    </row>
    <row r="82" spans="1:13" ht="15" customHeight="1" x14ac:dyDescent="0.35">
      <c r="A82" s="879"/>
      <c r="B82" s="69"/>
      <c r="C82" s="214"/>
      <c r="D82" s="215" t="s">
        <v>59</v>
      </c>
      <c r="E82" s="216"/>
      <c r="F82" s="69"/>
      <c r="G82" s="296">
        <f>SUM(I82:M82)</f>
        <v>0</v>
      </c>
      <c r="H82" s="69"/>
      <c r="I82" s="297"/>
      <c r="J82" s="298"/>
      <c r="K82" s="298"/>
      <c r="L82" s="298"/>
      <c r="M82" s="299"/>
    </row>
    <row r="83" spans="1:13" s="8" customFormat="1" ht="15" customHeight="1" x14ac:dyDescent="0.35">
      <c r="A83" s="202"/>
      <c r="B83" s="202"/>
      <c r="C83" s="202"/>
      <c r="D83" s="202"/>
      <c r="E83" s="202"/>
      <c r="F83" s="202"/>
      <c r="G83" s="285"/>
      <c r="H83" s="202"/>
      <c r="I83" s="285"/>
      <c r="J83" s="285"/>
      <c r="K83" s="285"/>
      <c r="L83" s="285"/>
      <c r="M83" s="285"/>
    </row>
    <row r="84" spans="1:13" ht="15" customHeight="1" x14ac:dyDescent="0.35">
      <c r="A84" s="879"/>
      <c r="B84" s="922" t="s">
        <v>91</v>
      </c>
      <c r="C84" s="922"/>
      <c r="D84" s="922"/>
      <c r="E84" s="922"/>
      <c r="F84" s="186"/>
      <c r="G84" s="300">
        <f>SUM(I84:M84)</f>
        <v>7438114</v>
      </c>
      <c r="H84" s="69"/>
      <c r="I84" s="352">
        <v>2168248</v>
      </c>
      <c r="J84" s="353">
        <v>1125821</v>
      </c>
      <c r="K84" s="353">
        <v>1340076</v>
      </c>
      <c r="L84" s="353">
        <v>1683934</v>
      </c>
      <c r="M84" s="354">
        <v>1120035</v>
      </c>
    </row>
    <row r="85" spans="1:13" s="8" customFormat="1" ht="15" customHeight="1" x14ac:dyDescent="0.35">
      <c r="A85" s="202"/>
      <c r="B85" s="202"/>
      <c r="C85" s="202"/>
      <c r="D85" s="202"/>
      <c r="E85" s="202"/>
      <c r="F85" s="202"/>
      <c r="G85" s="285"/>
      <c r="H85" s="202"/>
      <c r="I85" s="285"/>
      <c r="J85" s="285"/>
      <c r="K85" s="285"/>
      <c r="L85" s="285"/>
      <c r="M85" s="285"/>
    </row>
    <row r="86" spans="1:13" ht="15" customHeight="1" x14ac:dyDescent="0.35">
      <c r="A86" s="879"/>
      <c r="B86" s="922" t="s">
        <v>92</v>
      </c>
      <c r="C86" s="922"/>
      <c r="D86" s="922"/>
      <c r="E86" s="922"/>
      <c r="F86" s="69"/>
      <c r="G86" s="300">
        <f>SUM(I86:M86)</f>
        <v>10477679</v>
      </c>
      <c r="H86" s="69"/>
      <c r="I86" s="352">
        <v>2356343</v>
      </c>
      <c r="J86" s="353">
        <v>4545545</v>
      </c>
      <c r="K86" s="353">
        <v>0</v>
      </c>
      <c r="L86" s="353">
        <v>123435</v>
      </c>
      <c r="M86" s="354">
        <v>3452356</v>
      </c>
    </row>
    <row r="87" spans="1:13" ht="15" customHeight="1" x14ac:dyDescent="0.35">
      <c r="A87" s="879"/>
      <c r="B87" s="69"/>
      <c r="C87" s="156"/>
      <c r="D87" s="69"/>
      <c r="E87" s="69"/>
      <c r="F87" s="69"/>
      <c r="G87" s="218"/>
      <c r="H87" s="69"/>
      <c r="I87" s="69"/>
      <c r="J87" s="69"/>
      <c r="K87" s="69"/>
      <c r="L87" s="69"/>
      <c r="M87" s="69"/>
    </row>
    <row r="88" spans="1:13" ht="15" customHeight="1" x14ac:dyDescent="0.35">
      <c r="A88" s="879"/>
      <c r="B88" s="69"/>
      <c r="C88" s="156"/>
      <c r="D88" s="69"/>
      <c r="E88" s="69"/>
      <c r="F88" s="69"/>
      <c r="G88" s="218"/>
      <c r="H88" s="69"/>
      <c r="I88" s="69"/>
      <c r="J88" s="69"/>
      <c r="K88" s="69"/>
      <c r="L88" s="69"/>
      <c r="M88" s="69"/>
    </row>
    <row r="89" spans="1:13" ht="15" customHeight="1" x14ac:dyDescent="0.35">
      <c r="A89" s="879"/>
      <c r="B89" s="69"/>
      <c r="C89" s="156"/>
      <c r="D89" s="69"/>
      <c r="E89" s="69"/>
      <c r="F89" s="69"/>
      <c r="G89" s="218"/>
      <c r="H89" s="69"/>
      <c r="I89" s="178" t="str">
        <f>$I$13</f>
        <v>المؤسسة رقم 1</v>
      </c>
      <c r="J89" s="178" t="s">
        <v>67</v>
      </c>
      <c r="K89" s="178" t="s">
        <v>68</v>
      </c>
      <c r="L89" s="178" t="s">
        <v>69</v>
      </c>
      <c r="M89" s="249" t="s">
        <v>70</v>
      </c>
    </row>
    <row r="90" spans="1:13" ht="15" customHeight="1" x14ac:dyDescent="0.35">
      <c r="A90" s="879"/>
      <c r="B90" s="922" t="s">
        <v>15</v>
      </c>
      <c r="C90" s="922"/>
      <c r="D90" s="922"/>
      <c r="E90" s="69"/>
      <c r="F90" s="69"/>
      <c r="G90" s="258">
        <f>SUM(I90:M90)</f>
        <v>82084134.373911291</v>
      </c>
      <c r="H90" s="187"/>
      <c r="I90" s="289">
        <f>I15</f>
        <v>16849328.640699401</v>
      </c>
      <c r="J90" s="310">
        <f>J15</f>
        <v>16545896.7205882</v>
      </c>
      <c r="K90" s="310">
        <f>K15</f>
        <v>15947302.0410292</v>
      </c>
      <c r="L90" s="310">
        <f>L15</f>
        <v>16447157.782196999</v>
      </c>
      <c r="M90" s="311">
        <f>M15</f>
        <v>16294449.189397499</v>
      </c>
    </row>
    <row r="91" spans="1:13" ht="15" customHeight="1" x14ac:dyDescent="0.35">
      <c r="A91" s="879"/>
      <c r="B91" s="69"/>
      <c r="C91" s="923" t="s">
        <v>93</v>
      </c>
      <c r="D91" s="924"/>
      <c r="E91" s="925"/>
      <c r="F91" s="69"/>
      <c r="G91" s="267">
        <f>SUM(I91:M91)</f>
        <v>1238526</v>
      </c>
      <c r="H91" s="187"/>
      <c r="I91" s="290">
        <v>550408</v>
      </c>
      <c r="J91" s="291">
        <v>45876</v>
      </c>
      <c r="K91" s="291">
        <v>120454</v>
      </c>
      <c r="L91" s="291">
        <v>454344</v>
      </c>
      <c r="M91" s="292">
        <v>67444</v>
      </c>
    </row>
    <row r="92" spans="1:13" ht="15" customHeight="1" x14ac:dyDescent="0.35">
      <c r="A92" s="879"/>
      <c r="B92" s="69"/>
      <c r="C92" s="915" t="s">
        <v>94</v>
      </c>
      <c r="D92" s="916"/>
      <c r="E92" s="917"/>
      <c r="F92" s="69"/>
      <c r="G92" s="267">
        <f>SUM(I92:M92)</f>
        <v>8204916</v>
      </c>
      <c r="H92" s="187"/>
      <c r="I92" s="290">
        <v>2550408</v>
      </c>
      <c r="J92" s="291">
        <v>465311</v>
      </c>
      <c r="K92" s="291">
        <v>1050720</v>
      </c>
      <c r="L92" s="291">
        <v>3355029</v>
      </c>
      <c r="M92" s="292">
        <v>783448</v>
      </c>
    </row>
    <row r="93" spans="1:13" ht="15" customHeight="1" x14ac:dyDescent="0.35">
      <c r="A93" s="879"/>
      <c r="B93" s="69"/>
      <c r="C93" s="915" t="s">
        <v>298</v>
      </c>
      <c r="D93" s="916"/>
      <c r="E93" s="917"/>
      <c r="F93" s="69"/>
      <c r="G93" s="267">
        <f>SUM(I93:M93)</f>
        <v>12836915</v>
      </c>
      <c r="H93" s="187"/>
      <c r="I93" s="290">
        <v>342984</v>
      </c>
      <c r="J93" s="291">
        <v>4642013</v>
      </c>
      <c r="K93" s="291">
        <v>1853810</v>
      </c>
      <c r="L93" s="291">
        <v>725895</v>
      </c>
      <c r="M93" s="292">
        <v>5272213</v>
      </c>
    </row>
    <row r="94" spans="1:13" ht="15" customHeight="1" x14ac:dyDescent="0.35">
      <c r="A94" s="879"/>
      <c r="B94" s="69"/>
      <c r="C94" s="915" t="s">
        <v>60</v>
      </c>
      <c r="D94" s="916"/>
      <c r="E94" s="917"/>
      <c r="F94" s="69"/>
      <c r="G94" s="267">
        <f>SUM(I94:M94)</f>
        <v>4136576</v>
      </c>
      <c r="H94" s="187"/>
      <c r="I94" s="290">
        <v>1500343</v>
      </c>
      <c r="J94" s="291">
        <v>120565</v>
      </c>
      <c r="K94" s="291">
        <v>600056</v>
      </c>
      <c r="L94" s="291">
        <v>1245567</v>
      </c>
      <c r="M94" s="292">
        <v>670045</v>
      </c>
    </row>
    <row r="95" spans="1:13" ht="15" customHeight="1" x14ac:dyDescent="0.35">
      <c r="A95" s="879"/>
      <c r="B95" s="69"/>
      <c r="C95" s="915" t="s">
        <v>61</v>
      </c>
      <c r="D95" s="916"/>
      <c r="E95" s="917"/>
      <c r="F95" s="69"/>
      <c r="G95" s="267">
        <f t="shared" ref="G95:G103" si="2">SUM(I95:M95)</f>
        <v>2771957</v>
      </c>
      <c r="H95" s="187"/>
      <c r="I95" s="290">
        <v>1175559</v>
      </c>
      <c r="J95" s="291">
        <v>559035</v>
      </c>
      <c r="K95" s="291">
        <v>170212</v>
      </c>
      <c r="L95" s="291">
        <v>65315</v>
      </c>
      <c r="M95" s="292">
        <v>801836</v>
      </c>
    </row>
    <row r="96" spans="1:13" ht="15" customHeight="1" x14ac:dyDescent="0.35">
      <c r="A96" s="879"/>
      <c r="B96" s="69"/>
      <c r="C96" s="915" t="s">
        <v>62</v>
      </c>
      <c r="D96" s="916"/>
      <c r="E96" s="917"/>
      <c r="F96" s="69"/>
      <c r="G96" s="267">
        <f t="shared" si="2"/>
        <v>359081</v>
      </c>
      <c r="H96" s="187"/>
      <c r="I96" s="293">
        <v>130618</v>
      </c>
      <c r="J96" s="294">
        <v>71799</v>
      </c>
      <c r="K96" s="294">
        <v>32361</v>
      </c>
      <c r="L96" s="294">
        <v>10671</v>
      </c>
      <c r="M96" s="295">
        <v>113632</v>
      </c>
    </row>
    <row r="97" spans="1:13" ht="15" customHeight="1" x14ac:dyDescent="0.35">
      <c r="A97" s="879"/>
      <c r="B97" s="69"/>
      <c r="C97" s="915" t="s">
        <v>87</v>
      </c>
      <c r="D97" s="916"/>
      <c r="E97" s="917"/>
      <c r="F97" s="69"/>
      <c r="G97" s="267">
        <f t="shared" si="2"/>
        <v>0</v>
      </c>
      <c r="H97" s="187"/>
      <c r="I97" s="290">
        <v>0</v>
      </c>
      <c r="J97" s="291">
        <v>0</v>
      </c>
      <c r="K97" s="291">
        <v>0</v>
      </c>
      <c r="L97" s="291">
        <v>0</v>
      </c>
      <c r="M97" s="292">
        <v>0</v>
      </c>
    </row>
    <row r="98" spans="1:13" ht="15" customHeight="1" x14ac:dyDescent="0.35">
      <c r="A98" s="879"/>
      <c r="B98" s="69"/>
      <c r="C98" s="915" t="s">
        <v>86</v>
      </c>
      <c r="D98" s="916"/>
      <c r="E98" s="917"/>
      <c r="F98" s="69"/>
      <c r="G98" s="267">
        <f t="shared" si="2"/>
        <v>372675</v>
      </c>
      <c r="H98" s="187"/>
      <c r="I98" s="290">
        <v>50545</v>
      </c>
      <c r="J98" s="291">
        <v>5435</v>
      </c>
      <c r="K98" s="291">
        <v>234567</v>
      </c>
      <c r="L98" s="291">
        <v>75564</v>
      </c>
      <c r="M98" s="292">
        <v>6564</v>
      </c>
    </row>
    <row r="99" spans="1:13" ht="15" customHeight="1" x14ac:dyDescent="0.35">
      <c r="A99" s="879"/>
      <c r="B99" s="69"/>
      <c r="C99" s="915" t="s">
        <v>299</v>
      </c>
      <c r="D99" s="916"/>
      <c r="E99" s="917"/>
      <c r="F99" s="69"/>
      <c r="G99" s="267">
        <f t="shared" si="2"/>
        <v>459771</v>
      </c>
      <c r="H99" s="187"/>
      <c r="I99" s="290">
        <v>0</v>
      </c>
      <c r="J99" s="291">
        <v>87156</v>
      </c>
      <c r="K99" s="291">
        <v>121040</v>
      </c>
      <c r="L99" s="291">
        <v>30721</v>
      </c>
      <c r="M99" s="292">
        <v>220854</v>
      </c>
    </row>
    <row r="100" spans="1:13" s="10" customFormat="1" ht="15" customHeight="1" x14ac:dyDescent="0.35">
      <c r="A100" s="879"/>
      <c r="B100" s="69"/>
      <c r="C100" s="915" t="s">
        <v>85</v>
      </c>
      <c r="D100" s="916"/>
      <c r="E100" s="917"/>
      <c r="F100" s="69"/>
      <c r="G100" s="267">
        <f t="shared" si="2"/>
        <v>1386515</v>
      </c>
      <c r="H100" s="187"/>
      <c r="I100" s="290">
        <v>791616</v>
      </c>
      <c r="J100" s="291">
        <v>124323</v>
      </c>
      <c r="K100" s="291">
        <v>198288</v>
      </c>
      <c r="L100" s="291">
        <v>106366</v>
      </c>
      <c r="M100" s="292">
        <v>165922</v>
      </c>
    </row>
    <row r="101" spans="1:13" s="10" customFormat="1" ht="15" customHeight="1" x14ac:dyDescent="0.35">
      <c r="A101" s="879"/>
      <c r="B101" s="69"/>
      <c r="C101" s="915" t="s">
        <v>95</v>
      </c>
      <c r="D101" s="916"/>
      <c r="E101" s="917"/>
      <c r="F101" s="69"/>
      <c r="G101" s="267">
        <f t="shared" si="2"/>
        <v>0</v>
      </c>
      <c r="H101" s="187"/>
      <c r="I101" s="290">
        <v>0</v>
      </c>
      <c r="J101" s="291">
        <v>0</v>
      </c>
      <c r="K101" s="291">
        <v>0</v>
      </c>
      <c r="L101" s="291">
        <v>0</v>
      </c>
      <c r="M101" s="292">
        <v>0</v>
      </c>
    </row>
    <row r="102" spans="1:13" ht="15" customHeight="1" x14ac:dyDescent="0.35">
      <c r="A102" s="879"/>
      <c r="B102" s="69"/>
      <c r="C102" s="915" t="s">
        <v>363</v>
      </c>
      <c r="D102" s="916"/>
      <c r="E102" s="917"/>
      <c r="F102" s="69"/>
      <c r="G102" s="267">
        <f t="shared" si="2"/>
        <v>56072164</v>
      </c>
      <c r="H102" s="187"/>
      <c r="I102" s="290">
        <v>11418599</v>
      </c>
      <c r="J102" s="291">
        <v>10439524</v>
      </c>
      <c r="K102" s="291">
        <v>12992519</v>
      </c>
      <c r="L102" s="291">
        <v>12126392</v>
      </c>
      <c r="M102" s="292">
        <v>9095130</v>
      </c>
    </row>
    <row r="103" spans="1:13" s="10" customFormat="1" ht="15" customHeight="1" x14ac:dyDescent="0.35">
      <c r="A103" s="879"/>
      <c r="B103" s="69"/>
      <c r="C103" s="926" t="s">
        <v>457</v>
      </c>
      <c r="D103" s="927"/>
      <c r="E103" s="928"/>
      <c r="F103" s="69"/>
      <c r="G103" s="296">
        <f t="shared" si="2"/>
        <v>13882150</v>
      </c>
      <c r="H103" s="187"/>
      <c r="I103" s="297">
        <v>2906325</v>
      </c>
      <c r="J103" s="298">
        <v>1553388</v>
      </c>
      <c r="K103" s="298">
        <v>3179385</v>
      </c>
      <c r="L103" s="298">
        <v>4075747</v>
      </c>
      <c r="M103" s="299">
        <v>2167305</v>
      </c>
    </row>
    <row r="104" spans="1:13" ht="15" customHeight="1" x14ac:dyDescent="0.35">
      <c r="A104" s="879"/>
      <c r="B104" s="69"/>
      <c r="C104" s="69"/>
      <c r="D104" s="69"/>
      <c r="E104" s="69"/>
      <c r="F104" s="69"/>
      <c r="G104" s="69"/>
      <c r="H104" s="69"/>
      <c r="I104" s="69"/>
      <c r="J104" s="69"/>
      <c r="K104" s="69"/>
      <c r="L104" s="69"/>
      <c r="M104" s="69"/>
    </row>
    <row r="105" spans="1:13" ht="15" customHeight="1" x14ac:dyDescent="0.35">
      <c r="A105" s="879"/>
      <c r="B105" s="922"/>
      <c r="C105" s="922"/>
      <c r="D105" s="922"/>
      <c r="E105" s="922"/>
      <c r="F105" s="69"/>
      <c r="G105" s="300">
        <f>SUMPRODUCT(I105:M105,I16:M16)</f>
        <v>0</v>
      </c>
      <c r="H105" s="69"/>
      <c r="I105" s="222"/>
      <c r="J105" s="223"/>
      <c r="K105" s="223"/>
      <c r="L105" s="223"/>
      <c r="M105" s="223"/>
    </row>
    <row r="106" spans="1:13" ht="15" customHeight="1" x14ac:dyDescent="0.35">
      <c r="A106" s="879"/>
      <c r="B106" s="69"/>
      <c r="C106" s="69"/>
      <c r="D106" s="69"/>
      <c r="E106" s="69"/>
      <c r="F106" s="69"/>
      <c r="G106" s="69"/>
      <c r="H106" s="69"/>
      <c r="I106" s="69"/>
      <c r="J106" s="69"/>
      <c r="K106" s="69"/>
      <c r="L106" s="69"/>
      <c r="M106" s="69"/>
    </row>
    <row r="107" spans="1:13" s="9" customFormat="1" ht="15" customHeight="1" x14ac:dyDescent="0.35">
      <c r="A107" s="918" t="s">
        <v>96</v>
      </c>
      <c r="B107" s="918"/>
      <c r="C107" s="918"/>
      <c r="D107" s="918"/>
      <c r="E107" s="918"/>
      <c r="F107" s="202"/>
      <c r="G107" s="225"/>
      <c r="H107" s="202"/>
      <c r="I107" s="202"/>
      <c r="J107" s="202"/>
      <c r="K107" s="202"/>
      <c r="L107" s="202"/>
      <c r="M107" s="202"/>
    </row>
    <row r="108" spans="1:13" s="9" customFormat="1" ht="15" customHeight="1" x14ac:dyDescent="0.35">
      <c r="A108" s="202"/>
      <c r="B108" s="188"/>
      <c r="C108" s="224"/>
      <c r="D108" s="202"/>
      <c r="E108" s="202"/>
      <c r="F108" s="202"/>
      <c r="G108" s="225"/>
      <c r="H108" s="202"/>
      <c r="I108" s="178" t="str">
        <f>$I$13</f>
        <v>المؤسسة رقم 1</v>
      </c>
      <c r="J108" s="178" t="s">
        <v>67</v>
      </c>
      <c r="K108" s="178" t="s">
        <v>68</v>
      </c>
      <c r="L108" s="178" t="s">
        <v>69</v>
      </c>
      <c r="M108" s="249" t="s">
        <v>70</v>
      </c>
    </row>
    <row r="109" spans="1:13" s="9" customFormat="1" ht="15" customHeight="1" x14ac:dyDescent="0.35">
      <c r="A109" s="202"/>
      <c r="B109" s="202"/>
      <c r="C109" s="912" t="s">
        <v>364</v>
      </c>
      <c r="D109" s="913"/>
      <c r="E109" s="914"/>
      <c r="F109" s="202"/>
      <c r="G109" s="258">
        <f>SUM(I109:M109)</f>
        <v>2778969</v>
      </c>
      <c r="H109" s="202"/>
      <c r="I109" s="312">
        <v>881670</v>
      </c>
      <c r="J109" s="313">
        <v>419277</v>
      </c>
      <c r="K109" s="313">
        <v>627659</v>
      </c>
      <c r="L109" s="313">
        <v>248986</v>
      </c>
      <c r="M109" s="314">
        <v>601377</v>
      </c>
    </row>
    <row r="110" spans="1:13" s="9" customFormat="1" ht="15" customHeight="1" x14ac:dyDescent="0.35">
      <c r="A110" s="202"/>
      <c r="B110" s="202"/>
      <c r="C110" s="906" t="s">
        <v>112</v>
      </c>
      <c r="D110" s="907"/>
      <c r="E110" s="908"/>
      <c r="F110" s="202"/>
      <c r="G110" s="267">
        <f>SUM(I110:M110)</f>
        <v>836990</v>
      </c>
      <c r="H110" s="202"/>
      <c r="I110" s="290">
        <v>293890</v>
      </c>
      <c r="J110" s="291">
        <v>139759</v>
      </c>
      <c r="K110" s="291">
        <v>42553</v>
      </c>
      <c r="L110" s="291">
        <v>160329</v>
      </c>
      <c r="M110" s="292">
        <v>200459</v>
      </c>
    </row>
    <row r="111" spans="1:13" s="9" customFormat="1" ht="15" customHeight="1" x14ac:dyDescent="0.35">
      <c r="A111" s="202"/>
      <c r="B111" s="202"/>
      <c r="C111" s="906" t="s">
        <v>365</v>
      </c>
      <c r="D111" s="907"/>
      <c r="E111" s="908"/>
      <c r="F111" s="202"/>
      <c r="G111" s="267">
        <v>0</v>
      </c>
      <c r="H111" s="202"/>
      <c r="I111" s="290">
        <v>45875</v>
      </c>
      <c r="J111" s="291">
        <v>0</v>
      </c>
      <c r="K111" s="291">
        <v>0</v>
      </c>
      <c r="L111" s="291">
        <v>0</v>
      </c>
      <c r="M111" s="292">
        <v>0</v>
      </c>
    </row>
    <row r="112" spans="1:13" s="9" customFormat="1" ht="15" customHeight="1" x14ac:dyDescent="0.35">
      <c r="A112" s="202"/>
      <c r="B112" s="202"/>
      <c r="C112" s="906" t="s">
        <v>97</v>
      </c>
      <c r="D112" s="907"/>
      <c r="E112" s="908"/>
      <c r="F112" s="202"/>
      <c r="G112" s="267">
        <v>0</v>
      </c>
      <c r="H112" s="202"/>
      <c r="I112" s="290">
        <v>0</v>
      </c>
      <c r="J112" s="291">
        <v>0</v>
      </c>
      <c r="K112" s="291">
        <v>0</v>
      </c>
      <c r="L112" s="291">
        <v>0</v>
      </c>
      <c r="M112" s="292">
        <v>0</v>
      </c>
    </row>
    <row r="113" spans="1:13" s="9" customFormat="1" ht="15" customHeight="1" x14ac:dyDescent="0.35">
      <c r="A113" s="202"/>
      <c r="B113" s="202"/>
      <c r="C113" s="906" t="s">
        <v>430</v>
      </c>
      <c r="D113" s="907"/>
      <c r="E113" s="908"/>
      <c r="F113" s="202"/>
      <c r="G113" s="267">
        <f t="shared" ref="G113:G131" si="3">SUM(I113:M113)</f>
        <v>9173909</v>
      </c>
      <c r="H113" s="202"/>
      <c r="I113" s="290">
        <v>1182353</v>
      </c>
      <c r="J113" s="291">
        <v>2038032</v>
      </c>
      <c r="K113" s="291">
        <v>2990370</v>
      </c>
      <c r="L113" s="291">
        <v>1879772</v>
      </c>
      <c r="M113" s="292">
        <v>1083382</v>
      </c>
    </row>
    <row r="114" spans="1:13" s="9" customFormat="1" ht="15" customHeight="1" x14ac:dyDescent="0.35">
      <c r="A114" s="202"/>
      <c r="B114" s="202"/>
      <c r="C114" s="906" t="s">
        <v>452</v>
      </c>
      <c r="D114" s="907"/>
      <c r="E114" s="908"/>
      <c r="F114" s="202"/>
      <c r="G114" s="267">
        <f t="shared" si="3"/>
        <v>4586954</v>
      </c>
      <c r="H114" s="202"/>
      <c r="I114" s="290">
        <v>591176</v>
      </c>
      <c r="J114" s="291">
        <v>1019016</v>
      </c>
      <c r="K114" s="291">
        <v>1495185</v>
      </c>
      <c r="L114" s="291">
        <v>939886</v>
      </c>
      <c r="M114" s="292">
        <v>541691</v>
      </c>
    </row>
    <row r="115" spans="1:13" s="9" customFormat="1" ht="15" customHeight="1" x14ac:dyDescent="0.35">
      <c r="A115" s="202"/>
      <c r="B115" s="202"/>
      <c r="C115" s="906" t="s">
        <v>19</v>
      </c>
      <c r="D115" s="907"/>
      <c r="E115" s="908"/>
      <c r="F115" s="202"/>
      <c r="G115" s="267">
        <f t="shared" si="3"/>
        <v>4716717</v>
      </c>
      <c r="H115" s="202"/>
      <c r="I115" s="290">
        <v>1066473</v>
      </c>
      <c r="J115" s="291">
        <v>1228823</v>
      </c>
      <c r="K115" s="291">
        <v>0</v>
      </c>
      <c r="L115" s="291">
        <v>1073703</v>
      </c>
      <c r="M115" s="292">
        <v>1347718</v>
      </c>
    </row>
    <row r="116" spans="1:13" s="9" customFormat="1" ht="15" customHeight="1" x14ac:dyDescent="0.35">
      <c r="A116" s="202"/>
      <c r="B116" s="202"/>
      <c r="C116" s="906" t="s">
        <v>98</v>
      </c>
      <c r="D116" s="907"/>
      <c r="E116" s="908"/>
      <c r="F116" s="202"/>
      <c r="G116" s="267">
        <f t="shared" si="3"/>
        <v>5857420</v>
      </c>
      <c r="H116" s="202"/>
      <c r="I116" s="290">
        <v>1030060</v>
      </c>
      <c r="J116" s="291">
        <v>1409844</v>
      </c>
      <c r="K116" s="291">
        <v>986822</v>
      </c>
      <c r="L116" s="291">
        <v>1264547</v>
      </c>
      <c r="M116" s="292">
        <v>1166147</v>
      </c>
    </row>
    <row r="117" spans="1:13" s="9" customFormat="1" ht="15" customHeight="1" x14ac:dyDescent="0.35">
      <c r="A117" s="202"/>
      <c r="B117" s="202"/>
      <c r="C117" s="906" t="s">
        <v>366</v>
      </c>
      <c r="D117" s="907"/>
      <c r="E117" s="908"/>
      <c r="F117" s="202"/>
      <c r="G117" s="267">
        <f t="shared" si="3"/>
        <v>1528985</v>
      </c>
      <c r="H117" s="202"/>
      <c r="I117" s="290">
        <v>197059</v>
      </c>
      <c r="J117" s="291">
        <v>339672</v>
      </c>
      <c r="K117" s="291">
        <v>498395</v>
      </c>
      <c r="L117" s="291">
        <v>313295</v>
      </c>
      <c r="M117" s="292">
        <v>180564</v>
      </c>
    </row>
    <row r="118" spans="1:13" s="9" customFormat="1" ht="15" customHeight="1" x14ac:dyDescent="0.35">
      <c r="A118" s="202"/>
      <c r="B118" s="202"/>
      <c r="C118" s="906" t="s">
        <v>99</v>
      </c>
      <c r="D118" s="907"/>
      <c r="E118" s="908"/>
      <c r="F118" s="202"/>
      <c r="G118" s="267">
        <f t="shared" si="3"/>
        <v>2966794</v>
      </c>
      <c r="H118" s="202"/>
      <c r="I118" s="290">
        <v>492424</v>
      </c>
      <c r="J118" s="291">
        <v>702524</v>
      </c>
      <c r="K118" s="291">
        <v>598074</v>
      </c>
      <c r="L118" s="291">
        <v>633643</v>
      </c>
      <c r="M118" s="292">
        <v>540129</v>
      </c>
    </row>
    <row r="119" spans="1:13" s="9" customFormat="1" ht="15" customHeight="1" x14ac:dyDescent="0.35">
      <c r="A119" s="202"/>
      <c r="B119" s="202"/>
      <c r="C119" s="906" t="s">
        <v>100</v>
      </c>
      <c r="D119" s="907"/>
      <c r="E119" s="908"/>
      <c r="F119" s="202"/>
      <c r="G119" s="267">
        <f t="shared" si="3"/>
        <v>4450191</v>
      </c>
      <c r="H119" s="202"/>
      <c r="I119" s="290">
        <v>738636</v>
      </c>
      <c r="J119" s="291">
        <v>1053786</v>
      </c>
      <c r="K119" s="291">
        <v>897111</v>
      </c>
      <c r="L119" s="291">
        <v>950465</v>
      </c>
      <c r="M119" s="292">
        <v>810193</v>
      </c>
    </row>
    <row r="120" spans="1:13" s="9" customFormat="1" ht="15" customHeight="1" x14ac:dyDescent="0.35">
      <c r="A120" s="202"/>
      <c r="B120" s="202"/>
      <c r="C120" s="906" t="s">
        <v>101</v>
      </c>
      <c r="D120" s="907"/>
      <c r="E120" s="908"/>
      <c r="F120" s="202"/>
      <c r="G120" s="267">
        <f t="shared" si="3"/>
        <v>113604</v>
      </c>
      <c r="H120" s="202"/>
      <c r="I120" s="290">
        <v>2914</v>
      </c>
      <c r="J120" s="291">
        <v>18987</v>
      </c>
      <c r="K120" s="291">
        <v>21582</v>
      </c>
      <c r="L120" s="291">
        <v>4319</v>
      </c>
      <c r="M120" s="292">
        <v>65802</v>
      </c>
    </row>
    <row r="121" spans="1:13" s="9" customFormat="1" ht="15" customHeight="1" x14ac:dyDescent="0.35">
      <c r="A121" s="202"/>
      <c r="B121" s="202"/>
      <c r="C121" s="906" t="s">
        <v>102</v>
      </c>
      <c r="D121" s="907"/>
      <c r="E121" s="908"/>
      <c r="F121" s="202"/>
      <c r="G121" s="267">
        <f t="shared" si="3"/>
        <v>170405</v>
      </c>
      <c r="H121" s="202"/>
      <c r="I121" s="290">
        <v>4370</v>
      </c>
      <c r="J121" s="291">
        <v>28480</v>
      </c>
      <c r="K121" s="291">
        <v>32374</v>
      </c>
      <c r="L121" s="291">
        <v>6478</v>
      </c>
      <c r="M121" s="292">
        <v>98703</v>
      </c>
    </row>
    <row r="122" spans="1:13" s="9" customFormat="1" ht="15" customHeight="1" x14ac:dyDescent="0.35">
      <c r="A122" s="202"/>
      <c r="B122" s="202"/>
      <c r="C122" s="906" t="s">
        <v>103</v>
      </c>
      <c r="D122" s="907"/>
      <c r="E122" s="908"/>
      <c r="F122" s="202"/>
      <c r="G122" s="267">
        <f t="shared" si="3"/>
        <v>113604</v>
      </c>
      <c r="H122" s="202"/>
      <c r="I122" s="290">
        <v>2914</v>
      </c>
      <c r="J122" s="291">
        <v>18987</v>
      </c>
      <c r="K122" s="291">
        <v>21582</v>
      </c>
      <c r="L122" s="291">
        <v>4319</v>
      </c>
      <c r="M122" s="292">
        <v>65802</v>
      </c>
    </row>
    <row r="123" spans="1:13" s="9" customFormat="1" ht="15" customHeight="1" x14ac:dyDescent="0.35">
      <c r="A123" s="202"/>
      <c r="B123" s="202"/>
      <c r="C123" s="909" t="s">
        <v>104</v>
      </c>
      <c r="D123" s="910"/>
      <c r="E123" s="911"/>
      <c r="F123" s="202"/>
      <c r="G123" s="258">
        <f t="shared" si="3"/>
        <v>0</v>
      </c>
      <c r="H123" s="202"/>
      <c r="I123" s="290"/>
      <c r="J123" s="291"/>
      <c r="K123" s="291"/>
      <c r="L123" s="291"/>
      <c r="M123" s="292"/>
    </row>
    <row r="124" spans="1:13" s="9" customFormat="1" ht="15" customHeight="1" x14ac:dyDescent="0.35">
      <c r="A124" s="202"/>
      <c r="B124" s="202"/>
      <c r="C124" s="899" t="s">
        <v>453</v>
      </c>
      <c r="D124" s="900"/>
      <c r="E124" s="901"/>
      <c r="F124" s="202"/>
      <c r="G124" s="267">
        <f t="shared" si="3"/>
        <v>0</v>
      </c>
      <c r="H124" s="202"/>
      <c r="I124" s="290">
        <v>0</v>
      </c>
      <c r="J124" s="291">
        <v>0</v>
      </c>
      <c r="K124" s="291">
        <v>0</v>
      </c>
      <c r="L124" s="291">
        <v>0</v>
      </c>
      <c r="M124" s="292">
        <v>0</v>
      </c>
    </row>
    <row r="125" spans="1:13" s="9" customFormat="1" ht="15" customHeight="1" x14ac:dyDescent="0.35">
      <c r="A125" s="202"/>
      <c r="B125" s="202"/>
      <c r="C125" s="899" t="s">
        <v>105</v>
      </c>
      <c r="D125" s="900"/>
      <c r="E125" s="901"/>
      <c r="F125" s="202"/>
      <c r="G125" s="267">
        <f t="shared" si="3"/>
        <v>0</v>
      </c>
      <c r="H125" s="202"/>
      <c r="I125" s="290"/>
      <c r="J125" s="291"/>
      <c r="K125" s="291"/>
      <c r="L125" s="291"/>
      <c r="M125" s="292"/>
    </row>
    <row r="126" spans="1:13" s="9" customFormat="1" ht="15" customHeight="1" x14ac:dyDescent="0.35">
      <c r="A126" s="202"/>
      <c r="B126" s="202"/>
      <c r="C126" s="899" t="s">
        <v>367</v>
      </c>
      <c r="D126" s="900"/>
      <c r="E126" s="901"/>
      <c r="F126" s="202"/>
      <c r="G126" s="267">
        <f t="shared" si="3"/>
        <v>13882150</v>
      </c>
      <c r="H126" s="202"/>
      <c r="I126" s="290">
        <v>2906325</v>
      </c>
      <c r="J126" s="291">
        <v>1553388</v>
      </c>
      <c r="K126" s="291">
        <v>3179385</v>
      </c>
      <c r="L126" s="291">
        <v>4075747</v>
      </c>
      <c r="M126" s="292">
        <v>2167305</v>
      </c>
    </row>
    <row r="127" spans="1:13" s="9" customFormat="1" ht="15" customHeight="1" x14ac:dyDescent="0.35">
      <c r="A127" s="202"/>
      <c r="B127" s="202"/>
      <c r="C127" s="899" t="s">
        <v>106</v>
      </c>
      <c r="D127" s="900"/>
      <c r="E127" s="901"/>
      <c r="F127" s="202"/>
      <c r="G127" s="267">
        <f t="shared" si="3"/>
        <v>0</v>
      </c>
      <c r="H127" s="202"/>
      <c r="I127" s="290"/>
      <c r="J127" s="291"/>
      <c r="K127" s="291"/>
      <c r="L127" s="291"/>
      <c r="M127" s="292"/>
    </row>
    <row r="128" spans="1:13" s="9" customFormat="1" ht="15" customHeight="1" x14ac:dyDescent="0.35">
      <c r="A128" s="202"/>
      <c r="B128" s="202"/>
      <c r="C128" s="899" t="s">
        <v>368</v>
      </c>
      <c r="D128" s="900"/>
      <c r="E128" s="901"/>
      <c r="F128" s="202"/>
      <c r="G128" s="267">
        <f t="shared" si="3"/>
        <v>2803608</v>
      </c>
      <c r="H128" s="202"/>
      <c r="I128" s="290">
        <v>570930</v>
      </c>
      <c r="J128" s="291">
        <v>521976</v>
      </c>
      <c r="K128" s="291">
        <v>649626</v>
      </c>
      <c r="L128" s="291">
        <v>606320</v>
      </c>
      <c r="M128" s="292">
        <v>454756</v>
      </c>
    </row>
    <row r="129" spans="1:13" s="9" customFormat="1" ht="15" customHeight="1" x14ac:dyDescent="0.35">
      <c r="A129" s="202"/>
      <c r="B129" s="202"/>
      <c r="C129" s="899" t="s">
        <v>327</v>
      </c>
      <c r="D129" s="900"/>
      <c r="E129" s="901"/>
      <c r="F129" s="202"/>
      <c r="G129" s="267">
        <f t="shared" si="3"/>
        <v>5064620</v>
      </c>
      <c r="H129" s="202"/>
      <c r="I129" s="290">
        <v>987194</v>
      </c>
      <c r="J129" s="291">
        <v>1025229</v>
      </c>
      <c r="K129" s="291">
        <v>963362</v>
      </c>
      <c r="L129" s="291">
        <v>1009953</v>
      </c>
      <c r="M129" s="292">
        <v>1078882</v>
      </c>
    </row>
    <row r="130" spans="1:13" s="9" customFormat="1" ht="15" customHeight="1" x14ac:dyDescent="0.35">
      <c r="A130" s="202"/>
      <c r="B130" s="202"/>
      <c r="C130" s="899" t="s">
        <v>396</v>
      </c>
      <c r="D130" s="900"/>
      <c r="E130" s="901"/>
      <c r="F130" s="202"/>
      <c r="G130" s="267">
        <f>SUM(I130:M130)</f>
        <v>211904.1</v>
      </c>
      <c r="H130" s="202"/>
      <c r="I130" s="290">
        <v>52960</v>
      </c>
      <c r="J130" s="291">
        <v>41321.5</v>
      </c>
      <c r="K130" s="291">
        <v>12545.2</v>
      </c>
      <c r="L130" s="291">
        <v>60052.4</v>
      </c>
      <c r="M130" s="292">
        <v>45025</v>
      </c>
    </row>
    <row r="131" spans="1:13" s="9" customFormat="1" ht="15" customHeight="1" x14ac:dyDescent="0.35">
      <c r="A131" s="202"/>
      <c r="B131" s="202"/>
      <c r="C131" s="902" t="s">
        <v>397</v>
      </c>
      <c r="D131" s="903"/>
      <c r="E131" s="904"/>
      <c r="F131" s="202"/>
      <c r="G131" s="296">
        <f t="shared" si="3"/>
        <v>42380.820000000007</v>
      </c>
      <c r="H131" s="202"/>
      <c r="I131" s="297">
        <f>+I130*0.2</f>
        <v>10592</v>
      </c>
      <c r="J131" s="298">
        <f>+J130*0.2</f>
        <v>8264.3000000000011</v>
      </c>
      <c r="K131" s="298">
        <f>+K130*0.2</f>
        <v>2509.0400000000004</v>
      </c>
      <c r="L131" s="298">
        <f>+L130*0.2</f>
        <v>12010.480000000001</v>
      </c>
      <c r="M131" s="299">
        <f>+M130*0.2</f>
        <v>9005</v>
      </c>
    </row>
    <row r="132" spans="1:13" s="9" customFormat="1" ht="15" customHeight="1" x14ac:dyDescent="0.35">
      <c r="A132" s="202"/>
      <c r="B132" s="202"/>
      <c r="C132" s="202"/>
      <c r="D132" s="202"/>
      <c r="E132" s="202"/>
      <c r="F132" s="202"/>
      <c r="G132" s="202"/>
      <c r="H132" s="202"/>
      <c r="I132" s="202"/>
      <c r="J132" s="202"/>
      <c r="K132" s="202"/>
      <c r="L132" s="202"/>
      <c r="M132" s="202"/>
    </row>
    <row r="133" spans="1:13" s="9" customFormat="1" ht="15" customHeight="1" x14ac:dyDescent="0.35">
      <c r="A133" s="202"/>
      <c r="B133" s="918" t="s">
        <v>107</v>
      </c>
      <c r="C133" s="918"/>
      <c r="D133" s="918"/>
      <c r="E133" s="918"/>
      <c r="F133" s="202"/>
      <c r="G133" s="202"/>
      <c r="H133" s="202"/>
      <c r="I133" s="202"/>
      <c r="J133" s="202"/>
      <c r="K133" s="202"/>
      <c r="L133" s="202"/>
      <c r="M133" s="202"/>
    </row>
    <row r="134" spans="1:13" s="9" customFormat="1" ht="15" customHeight="1" x14ac:dyDescent="0.35">
      <c r="A134" s="202"/>
      <c r="B134" s="188"/>
      <c r="C134" s="188" t="s">
        <v>22</v>
      </c>
      <c r="D134" s="202"/>
      <c r="E134" s="202"/>
      <c r="F134" s="202"/>
      <c r="G134" s="225"/>
      <c r="H134" s="202"/>
      <c r="I134" s="178" t="str">
        <f>$I$13</f>
        <v>المؤسسة رقم 1</v>
      </c>
      <c r="J134" s="178" t="s">
        <v>67</v>
      </c>
      <c r="K134" s="178" t="s">
        <v>68</v>
      </c>
      <c r="L134" s="178" t="s">
        <v>69</v>
      </c>
      <c r="M134" s="249" t="s">
        <v>70</v>
      </c>
    </row>
    <row r="135" spans="1:13" s="9" customFormat="1" ht="15" customHeight="1" x14ac:dyDescent="0.35">
      <c r="A135" s="202"/>
      <c r="B135" s="202"/>
      <c r="C135" s="991" t="s">
        <v>111</v>
      </c>
      <c r="D135" s="992"/>
      <c r="E135" s="993"/>
      <c r="F135" s="202"/>
      <c r="G135" s="258">
        <f>SUM(I135:M135)</f>
        <v>25182748</v>
      </c>
      <c r="H135" s="202"/>
      <c r="I135" s="315">
        <f>+SUM(I136:I140)</f>
        <v>3489676</v>
      </c>
      <c r="J135" s="316">
        <f>+SUM(J136:J140)</f>
        <v>5942767</v>
      </c>
      <c r="K135" s="316">
        <f>+SUM(K136:K140)</f>
        <v>4481752</v>
      </c>
      <c r="L135" s="316">
        <f>+SUM(L136:L140)</f>
        <v>5080913</v>
      </c>
      <c r="M135" s="317">
        <f>+SUM(M136:M140)</f>
        <v>6187640</v>
      </c>
    </row>
    <row r="136" spans="1:13" s="9" customFormat="1" ht="15" customHeight="1" x14ac:dyDescent="0.35">
      <c r="A136" s="202"/>
      <c r="B136" s="202"/>
      <c r="C136" s="975" t="s">
        <v>108</v>
      </c>
      <c r="D136" s="976"/>
      <c r="E136" s="977"/>
      <c r="F136" s="202"/>
      <c r="G136" s="267">
        <f>SUM(I136:M136)</f>
        <v>1238526</v>
      </c>
      <c r="H136" s="202"/>
      <c r="I136" s="290">
        <f t="shared" ref="I136:M137" si="4">+I91</f>
        <v>550408</v>
      </c>
      <c r="J136" s="291">
        <f t="shared" si="4"/>
        <v>45876</v>
      </c>
      <c r="K136" s="291">
        <f t="shared" si="4"/>
        <v>120454</v>
      </c>
      <c r="L136" s="291">
        <f t="shared" si="4"/>
        <v>454344</v>
      </c>
      <c r="M136" s="292">
        <f t="shared" si="4"/>
        <v>67444</v>
      </c>
    </row>
    <row r="137" spans="1:13" s="9" customFormat="1" ht="15" customHeight="1" x14ac:dyDescent="0.35">
      <c r="A137" s="202"/>
      <c r="B137" s="202"/>
      <c r="C137" s="975" t="s">
        <v>109</v>
      </c>
      <c r="D137" s="976"/>
      <c r="E137" s="977"/>
      <c r="F137" s="202"/>
      <c r="G137" s="267">
        <f>SUM(I137:M137)</f>
        <v>8204916</v>
      </c>
      <c r="H137" s="202"/>
      <c r="I137" s="290">
        <f t="shared" si="4"/>
        <v>2550408</v>
      </c>
      <c r="J137" s="291">
        <f t="shared" si="4"/>
        <v>465311</v>
      </c>
      <c r="K137" s="291">
        <f t="shared" si="4"/>
        <v>1050720</v>
      </c>
      <c r="L137" s="291">
        <f t="shared" si="4"/>
        <v>3355029</v>
      </c>
      <c r="M137" s="292">
        <f t="shared" si="4"/>
        <v>783448</v>
      </c>
    </row>
    <row r="138" spans="1:13" s="9" customFormat="1" ht="30" customHeight="1" x14ac:dyDescent="0.35">
      <c r="A138" s="202"/>
      <c r="B138" s="202"/>
      <c r="C138" s="994" t="s">
        <v>370</v>
      </c>
      <c r="D138" s="976"/>
      <c r="E138" s="977"/>
      <c r="F138" s="202"/>
      <c r="G138" s="860">
        <f>SUM(I138:M138)</f>
        <v>0</v>
      </c>
      <c r="H138" s="202"/>
      <c r="I138" s="865">
        <v>0</v>
      </c>
      <c r="J138" s="863">
        <v>0</v>
      </c>
      <c r="K138" s="863">
        <v>0</v>
      </c>
      <c r="L138" s="863">
        <v>0</v>
      </c>
      <c r="M138" s="864">
        <v>0</v>
      </c>
    </row>
    <row r="139" spans="1:13" s="9" customFormat="1" ht="15" customHeight="1" x14ac:dyDescent="0.35">
      <c r="A139" s="202"/>
      <c r="B139" s="202"/>
      <c r="C139" s="975" t="s">
        <v>371</v>
      </c>
      <c r="D139" s="976"/>
      <c r="E139" s="977"/>
      <c r="F139" s="202"/>
      <c r="G139" s="267">
        <f t="shared" ref="G139:G148" si="5">SUM(I139:M139)</f>
        <v>12836915</v>
      </c>
      <c r="H139" s="202"/>
      <c r="I139" s="290">
        <v>342984</v>
      </c>
      <c r="J139" s="291">
        <v>4642013</v>
      </c>
      <c r="K139" s="291">
        <v>1853810</v>
      </c>
      <c r="L139" s="291">
        <v>725895</v>
      </c>
      <c r="M139" s="292">
        <v>5272213</v>
      </c>
    </row>
    <row r="140" spans="1:13" s="9" customFormat="1" ht="15" customHeight="1" x14ac:dyDescent="0.35">
      <c r="A140" s="202"/>
      <c r="B140" s="202"/>
      <c r="C140" s="975" t="s">
        <v>372</v>
      </c>
      <c r="D140" s="976"/>
      <c r="E140" s="977"/>
      <c r="F140" s="202"/>
      <c r="G140" s="267">
        <f t="shared" si="5"/>
        <v>2902391</v>
      </c>
      <c r="H140" s="202"/>
      <c r="I140" s="290">
        <v>45876</v>
      </c>
      <c r="J140" s="291">
        <v>789567</v>
      </c>
      <c r="K140" s="291">
        <v>1456768</v>
      </c>
      <c r="L140" s="291">
        <v>545645</v>
      </c>
      <c r="M140" s="292">
        <v>64535</v>
      </c>
    </row>
    <row r="141" spans="1:13" s="9" customFormat="1" ht="15" customHeight="1" x14ac:dyDescent="0.35">
      <c r="A141" s="202"/>
      <c r="B141" s="202"/>
      <c r="C141" s="978" t="s">
        <v>110</v>
      </c>
      <c r="D141" s="979"/>
      <c r="E141" s="980"/>
      <c r="F141" s="202"/>
      <c r="G141" s="267">
        <f t="shared" si="5"/>
        <v>378996</v>
      </c>
      <c r="H141" s="202"/>
      <c r="I141" s="318">
        <f>I142+I145</f>
        <v>293890</v>
      </c>
      <c r="J141" s="319">
        <f t="shared" ref="J141:M142" si="6">SUM(J142:J143)</f>
        <v>0</v>
      </c>
      <c r="K141" s="319">
        <f t="shared" si="6"/>
        <v>85106</v>
      </c>
      <c r="L141" s="319">
        <f t="shared" si="6"/>
        <v>0</v>
      </c>
      <c r="M141" s="320">
        <f t="shared" si="6"/>
        <v>0</v>
      </c>
    </row>
    <row r="142" spans="1:13" s="9" customFormat="1" ht="15" customHeight="1" x14ac:dyDescent="0.35">
      <c r="A142" s="202"/>
      <c r="B142" s="202"/>
      <c r="C142" s="978" t="s">
        <v>112</v>
      </c>
      <c r="D142" s="979"/>
      <c r="E142" s="980"/>
      <c r="F142" s="202"/>
      <c r="G142" s="267">
        <f t="shared" si="5"/>
        <v>290568</v>
      </c>
      <c r="H142" s="202"/>
      <c r="I142" s="318">
        <f>SUM(I143:I144)</f>
        <v>248015</v>
      </c>
      <c r="J142" s="319">
        <f t="shared" si="6"/>
        <v>0</v>
      </c>
      <c r="K142" s="319">
        <f t="shared" si="6"/>
        <v>42553</v>
      </c>
      <c r="L142" s="319">
        <f t="shared" si="6"/>
        <v>0</v>
      </c>
      <c r="M142" s="320">
        <f t="shared" si="6"/>
        <v>0</v>
      </c>
    </row>
    <row r="143" spans="1:13" s="9" customFormat="1" ht="30" customHeight="1" x14ac:dyDescent="0.35">
      <c r="A143" s="202"/>
      <c r="B143" s="202"/>
      <c r="C143" s="994" t="s">
        <v>373</v>
      </c>
      <c r="D143" s="998"/>
      <c r="E143" s="999"/>
      <c r="F143" s="202"/>
      <c r="G143" s="860">
        <f t="shared" si="5"/>
        <v>224594</v>
      </c>
      <c r="H143" s="202"/>
      <c r="I143" s="862">
        <v>182041</v>
      </c>
      <c r="J143" s="863">
        <v>0</v>
      </c>
      <c r="K143" s="863">
        <v>42553</v>
      </c>
      <c r="L143" s="863">
        <v>0</v>
      </c>
      <c r="M143" s="864">
        <v>0</v>
      </c>
    </row>
    <row r="144" spans="1:13" s="9" customFormat="1" ht="15" customHeight="1" x14ac:dyDescent="0.35">
      <c r="A144" s="202"/>
      <c r="B144" s="202"/>
      <c r="C144" s="975" t="s">
        <v>310</v>
      </c>
      <c r="D144" s="976"/>
      <c r="E144" s="977"/>
      <c r="F144" s="202"/>
      <c r="G144" s="267">
        <f t="shared" si="5"/>
        <v>65974</v>
      </c>
      <c r="H144" s="202"/>
      <c r="I144" s="293">
        <v>65974</v>
      </c>
      <c r="J144" s="291">
        <v>0</v>
      </c>
      <c r="K144" s="291">
        <v>0</v>
      </c>
      <c r="L144" s="291">
        <v>0</v>
      </c>
      <c r="M144" s="292">
        <v>0</v>
      </c>
    </row>
    <row r="145" spans="1:13" s="9" customFormat="1" ht="15" customHeight="1" x14ac:dyDescent="0.35">
      <c r="A145" s="202"/>
      <c r="B145" s="202"/>
      <c r="C145" s="978" t="s">
        <v>113</v>
      </c>
      <c r="D145" s="979"/>
      <c r="E145" s="980"/>
      <c r="F145" s="202"/>
      <c r="G145" s="267">
        <f t="shared" si="5"/>
        <v>45875</v>
      </c>
      <c r="H145" s="202"/>
      <c r="I145" s="318">
        <f>SUM(I146:I148)</f>
        <v>45875</v>
      </c>
      <c r="J145" s="319">
        <f>SUM(J146:J148)</f>
        <v>0</v>
      </c>
      <c r="K145" s="319">
        <f>SUM(K146:K148)</f>
        <v>0</v>
      </c>
      <c r="L145" s="319">
        <f>SUM(L146:L148)</f>
        <v>0</v>
      </c>
      <c r="M145" s="320">
        <f>SUM(M146:M148)</f>
        <v>0</v>
      </c>
    </row>
    <row r="146" spans="1:13" s="9" customFormat="1" ht="15" customHeight="1" x14ac:dyDescent="0.35">
      <c r="A146" s="202"/>
      <c r="B146" s="202"/>
      <c r="C146" s="975" t="s">
        <v>374</v>
      </c>
      <c r="D146" s="976"/>
      <c r="E146" s="977"/>
      <c r="F146" s="202"/>
      <c r="G146" s="267">
        <f t="shared" si="5"/>
        <v>0</v>
      </c>
      <c r="H146" s="202"/>
      <c r="I146" s="290">
        <v>0</v>
      </c>
      <c r="J146" s="291">
        <v>0</v>
      </c>
      <c r="K146" s="291">
        <v>0</v>
      </c>
      <c r="L146" s="291">
        <v>0</v>
      </c>
      <c r="M146" s="292">
        <v>0</v>
      </c>
    </row>
    <row r="147" spans="1:13" s="9" customFormat="1" ht="15" customHeight="1" x14ac:dyDescent="0.35">
      <c r="A147" s="202"/>
      <c r="B147" s="202"/>
      <c r="C147" s="975" t="s">
        <v>328</v>
      </c>
      <c r="D147" s="976"/>
      <c r="E147" s="977"/>
      <c r="F147" s="202"/>
      <c r="G147" s="267">
        <f t="shared" si="5"/>
        <v>45875</v>
      </c>
      <c r="H147" s="202"/>
      <c r="I147" s="290">
        <v>45875</v>
      </c>
      <c r="J147" s="291">
        <v>0</v>
      </c>
      <c r="K147" s="291">
        <v>0</v>
      </c>
      <c r="L147" s="291">
        <v>0</v>
      </c>
      <c r="M147" s="292">
        <v>0</v>
      </c>
    </row>
    <row r="148" spans="1:13" s="9" customFormat="1" ht="15" customHeight="1" x14ac:dyDescent="0.35">
      <c r="A148" s="202"/>
      <c r="B148" s="202"/>
      <c r="C148" s="995" t="s">
        <v>309</v>
      </c>
      <c r="D148" s="996"/>
      <c r="E148" s="997"/>
      <c r="F148" s="202"/>
      <c r="G148" s="861">
        <f t="shared" si="5"/>
        <v>0</v>
      </c>
      <c r="H148" s="202"/>
      <c r="I148" s="297">
        <v>0</v>
      </c>
      <c r="J148" s="298">
        <v>0</v>
      </c>
      <c r="K148" s="298">
        <v>0</v>
      </c>
      <c r="L148" s="298">
        <v>0</v>
      </c>
      <c r="M148" s="299">
        <v>0</v>
      </c>
    </row>
    <row r="149" spans="1:13" s="9" customFormat="1" ht="15" x14ac:dyDescent="0.35">
      <c r="A149" s="202"/>
      <c r="B149" s="202"/>
      <c r="C149" s="226"/>
      <c r="D149" s="226"/>
      <c r="E149" s="226"/>
      <c r="F149" s="202"/>
      <c r="G149" s="227"/>
      <c r="H149" s="227"/>
      <c r="I149" s="227"/>
      <c r="J149" s="227"/>
      <c r="K149" s="227"/>
      <c r="L149" s="227"/>
      <c r="M149" s="227"/>
    </row>
    <row r="150" spans="1:13" s="9" customFormat="1" ht="15" x14ac:dyDescent="0.35">
      <c r="A150" s="202"/>
      <c r="B150" s="202"/>
      <c r="C150" s="226"/>
      <c r="D150" s="226"/>
      <c r="E150" s="226"/>
      <c r="F150" s="227"/>
      <c r="G150" s="227"/>
      <c r="H150" s="227"/>
      <c r="I150" s="227"/>
      <c r="J150" s="227"/>
      <c r="K150" s="227"/>
      <c r="L150" s="227"/>
      <c r="M150" s="227"/>
    </row>
    <row r="151" spans="1:13" s="9" customFormat="1" ht="15" customHeight="1" x14ac:dyDescent="0.35">
      <c r="A151" s="202"/>
      <c r="B151" s="188"/>
      <c r="C151" s="918" t="s">
        <v>114</v>
      </c>
      <c r="D151" s="918"/>
      <c r="E151" s="918"/>
      <c r="F151" s="202"/>
      <c r="G151" s="227"/>
      <c r="H151" s="227"/>
      <c r="I151" s="178" t="str">
        <f>$I$13</f>
        <v>المؤسسة رقم 1</v>
      </c>
      <c r="J151" s="178" t="s">
        <v>67</v>
      </c>
      <c r="K151" s="178" t="s">
        <v>68</v>
      </c>
      <c r="L151" s="178" t="s">
        <v>69</v>
      </c>
      <c r="M151" s="249" t="s">
        <v>70</v>
      </c>
    </row>
    <row r="152" spans="1:13" s="9" customFormat="1" ht="15" customHeight="1" x14ac:dyDescent="0.35">
      <c r="A152" s="202"/>
      <c r="B152" s="188"/>
      <c r="C152" s="986" t="s">
        <v>398</v>
      </c>
      <c r="D152" s="987"/>
      <c r="E152" s="988"/>
      <c r="F152" s="202"/>
      <c r="G152" s="258">
        <f t="shared" ref="G152:G179" si="7">SUM(I152:M152)</f>
        <v>23353464.36506626</v>
      </c>
      <c r="H152" s="202"/>
      <c r="I152" s="315">
        <f>+I157+I153</f>
        <v>3972948.346074908</v>
      </c>
      <c r="J152" s="316">
        <f>+J157+J153</f>
        <v>5743517.2781181354</v>
      </c>
      <c r="K152" s="316">
        <f>+K157+K153</f>
        <v>5928002.401315188</v>
      </c>
      <c r="L152" s="316">
        <f>+L157+L153</f>
        <v>5040768.7288856516</v>
      </c>
      <c r="M152" s="317">
        <f>+M157+M153</f>
        <v>2668227.6106723789</v>
      </c>
    </row>
    <row r="153" spans="1:13" s="9" customFormat="1" ht="15" customHeight="1" x14ac:dyDescent="0.35">
      <c r="A153" s="202"/>
      <c r="B153" s="188"/>
      <c r="C153" s="983" t="s">
        <v>322</v>
      </c>
      <c r="D153" s="984"/>
      <c r="E153" s="985"/>
      <c r="F153" s="202"/>
      <c r="G153" s="267">
        <f t="shared" si="7"/>
        <v>23353464.36506626</v>
      </c>
      <c r="H153" s="202"/>
      <c r="I153" s="318">
        <f>+SUM(I155:I156)</f>
        <v>3972948.346074908</v>
      </c>
      <c r="J153" s="319">
        <f>+SUM(J154:J156)</f>
        <v>5743517.2781181354</v>
      </c>
      <c r="K153" s="319">
        <f>+SUM(K154:K156)</f>
        <v>5928002.401315188</v>
      </c>
      <c r="L153" s="319">
        <f>+SUM(L154:L156)</f>
        <v>5040768.7288856516</v>
      </c>
      <c r="M153" s="320">
        <f>+SUM(M154:M156)</f>
        <v>2668227.6106723789</v>
      </c>
    </row>
    <row r="154" spans="1:13" s="9" customFormat="1" ht="15" customHeight="1" x14ac:dyDescent="0.35">
      <c r="A154" s="202"/>
      <c r="B154" s="188"/>
      <c r="C154" s="940" t="s">
        <v>321</v>
      </c>
      <c r="D154" s="941"/>
      <c r="E154" s="942"/>
      <c r="F154" s="202"/>
      <c r="G154" s="267">
        <f t="shared" si="7"/>
        <v>0</v>
      </c>
      <c r="H154" s="202"/>
      <c r="I154" s="321"/>
      <c r="J154" s="319"/>
      <c r="K154" s="319"/>
      <c r="L154" s="319"/>
      <c r="M154" s="320"/>
    </row>
    <row r="155" spans="1:13" s="9" customFormat="1" ht="15" customHeight="1" x14ac:dyDescent="0.35">
      <c r="A155" s="202"/>
      <c r="B155" s="188"/>
      <c r="C155" s="940" t="s">
        <v>115</v>
      </c>
      <c r="D155" s="941"/>
      <c r="E155" s="942"/>
      <c r="F155" s="202"/>
      <c r="G155" s="267">
        <f>SUM(I155:M155)</f>
        <v>5629953.0730132516</v>
      </c>
      <c r="H155" s="202"/>
      <c r="I155" s="318">
        <f t="shared" ref="I155:M156" si="8">+I41+I50</f>
        <v>1014531.5692149815</v>
      </c>
      <c r="J155" s="319">
        <f t="shared" si="8"/>
        <v>1417350.4556236272</v>
      </c>
      <c r="K155" s="319">
        <f t="shared" si="8"/>
        <v>1329845.2802630377</v>
      </c>
      <c r="L155" s="319">
        <f t="shared" si="8"/>
        <v>1230264.7457771304</v>
      </c>
      <c r="M155" s="320">
        <f t="shared" si="8"/>
        <v>637961.02213447576</v>
      </c>
    </row>
    <row r="156" spans="1:13" s="9" customFormat="1" ht="15" customHeight="1" x14ac:dyDescent="0.35">
      <c r="A156" s="202"/>
      <c r="B156" s="188"/>
      <c r="C156" s="940" t="s">
        <v>323</v>
      </c>
      <c r="D156" s="941"/>
      <c r="E156" s="942"/>
      <c r="F156" s="202"/>
      <c r="G156" s="267">
        <f t="shared" si="7"/>
        <v>17723511.292053007</v>
      </c>
      <c r="H156" s="202"/>
      <c r="I156" s="318">
        <f t="shared" si="8"/>
        <v>2958416.7768599265</v>
      </c>
      <c r="J156" s="319">
        <f t="shared" si="8"/>
        <v>4326166.8224945087</v>
      </c>
      <c r="K156" s="319">
        <f t="shared" si="8"/>
        <v>4598157.1210521506</v>
      </c>
      <c r="L156" s="319">
        <f t="shared" si="8"/>
        <v>3810503.9831085214</v>
      </c>
      <c r="M156" s="320">
        <f t="shared" si="8"/>
        <v>2030266.588537903</v>
      </c>
    </row>
    <row r="157" spans="1:13" s="9" customFormat="1" ht="15" customHeight="1" x14ac:dyDescent="0.35">
      <c r="A157" s="202"/>
      <c r="B157" s="188"/>
      <c r="C157" s="960" t="s">
        <v>399</v>
      </c>
      <c r="D157" s="961"/>
      <c r="E157" s="962"/>
      <c r="F157" s="202"/>
      <c r="G157" s="267">
        <f t="shared" si="7"/>
        <v>0</v>
      </c>
      <c r="H157" s="202"/>
      <c r="I157" s="318">
        <v>0</v>
      </c>
      <c r="J157" s="319">
        <v>0</v>
      </c>
      <c r="K157" s="319">
        <v>0</v>
      </c>
      <c r="L157" s="319">
        <v>0</v>
      </c>
      <c r="M157" s="320">
        <v>0</v>
      </c>
    </row>
    <row r="158" spans="1:13" s="9" customFormat="1" ht="15" customHeight="1" x14ac:dyDescent="0.35">
      <c r="A158" s="202"/>
      <c r="B158" s="188"/>
      <c r="C158" s="986" t="s">
        <v>116</v>
      </c>
      <c r="D158" s="987"/>
      <c r="E158" s="988"/>
      <c r="F158" s="202"/>
      <c r="G158" s="267">
        <f t="shared" si="7"/>
        <v>0</v>
      </c>
      <c r="H158" s="202"/>
      <c r="I158" s="318"/>
      <c r="J158" s="319"/>
      <c r="K158" s="319"/>
      <c r="L158" s="319"/>
      <c r="M158" s="320"/>
    </row>
    <row r="159" spans="1:13" s="9" customFormat="1" ht="15" customHeight="1" x14ac:dyDescent="0.35">
      <c r="A159" s="202"/>
      <c r="B159" s="188"/>
      <c r="C159" s="969" t="s">
        <v>375</v>
      </c>
      <c r="D159" s="984"/>
      <c r="E159" s="985"/>
      <c r="F159" s="202"/>
      <c r="G159" s="267">
        <f t="shared" si="7"/>
        <v>0</v>
      </c>
      <c r="H159" s="202"/>
      <c r="I159" s="318"/>
      <c r="J159" s="319"/>
      <c r="K159" s="319"/>
      <c r="L159" s="319"/>
      <c r="M159" s="320"/>
    </row>
    <row r="160" spans="1:13" s="9" customFormat="1" ht="15" customHeight="1" x14ac:dyDescent="0.35">
      <c r="A160" s="202"/>
      <c r="B160" s="188"/>
      <c r="C160" s="940" t="s">
        <v>115</v>
      </c>
      <c r="D160" s="941"/>
      <c r="E160" s="942"/>
      <c r="F160" s="202"/>
      <c r="G160" s="267">
        <f t="shared" si="7"/>
        <v>7560830.6786755025</v>
      </c>
      <c r="H160" s="202"/>
      <c r="I160" s="318">
        <f>+I44+(I52*0.3)</f>
        <v>1290737.4194766544</v>
      </c>
      <c r="J160" s="319">
        <f>+J44+(J52*0.3)</f>
        <v>1472952.5637490847</v>
      </c>
      <c r="K160" s="319">
        <f>+K44+(K52*0.3)</f>
        <v>2027407.8101753583</v>
      </c>
      <c r="L160" s="319">
        <f>+L44+(L52*0.3)</f>
        <v>1330857.5571847537</v>
      </c>
      <c r="M160" s="320">
        <f>+M44+(M52*0.3)</f>
        <v>1438875.3280896505</v>
      </c>
    </row>
    <row r="161" spans="1:13" s="9" customFormat="1" ht="15" customHeight="1" x14ac:dyDescent="0.35">
      <c r="A161" s="202"/>
      <c r="B161" s="188"/>
      <c r="C161" s="940" t="s">
        <v>324</v>
      </c>
      <c r="D161" s="941"/>
      <c r="E161" s="942"/>
      <c r="F161" s="202"/>
      <c r="G161" s="267">
        <f t="shared" si="7"/>
        <v>11525999.421324499</v>
      </c>
      <c r="H161" s="202"/>
      <c r="I161" s="318">
        <f>+I52-I160</f>
        <v>2223485.3805233454</v>
      </c>
      <c r="J161" s="319">
        <f>+J52-J160</f>
        <v>2078201.6362509155</v>
      </c>
      <c r="K161" s="319">
        <f>+K52-K160</f>
        <v>2737038.4898246415</v>
      </c>
      <c r="L161" s="319">
        <f>+L52-L160</f>
        <v>1852152.6428152465</v>
      </c>
      <c r="M161" s="320">
        <f>+M52-M160</f>
        <v>2635121.2719103498</v>
      </c>
    </row>
    <row r="162" spans="1:13" s="9" customFormat="1" ht="15" customHeight="1" x14ac:dyDescent="0.35">
      <c r="A162" s="202"/>
      <c r="B162" s="188"/>
      <c r="C162" s="940" t="s">
        <v>117</v>
      </c>
      <c r="D162" s="941"/>
      <c r="E162" s="942"/>
      <c r="F162" s="202"/>
      <c r="G162" s="267">
        <f t="shared" si="7"/>
        <v>1587399.5999999999</v>
      </c>
      <c r="H162" s="202"/>
      <c r="I162" s="318">
        <f>I54</f>
        <v>270947</v>
      </c>
      <c r="J162" s="319">
        <f>J54</f>
        <v>347628</v>
      </c>
      <c r="K162" s="319">
        <f>K54</f>
        <v>378254</v>
      </c>
      <c r="L162" s="319">
        <f>L54</f>
        <v>228844.40000000002</v>
      </c>
      <c r="M162" s="320">
        <f>M54</f>
        <v>361726.2</v>
      </c>
    </row>
    <row r="163" spans="1:13" s="9" customFormat="1" ht="15" customHeight="1" x14ac:dyDescent="0.35">
      <c r="A163" s="202"/>
      <c r="B163" s="188"/>
      <c r="C163" s="940" t="s">
        <v>118</v>
      </c>
      <c r="D163" s="941"/>
      <c r="E163" s="942"/>
      <c r="F163" s="202"/>
      <c r="G163" s="267">
        <f t="shared" si="7"/>
        <v>0</v>
      </c>
      <c r="H163" s="202"/>
      <c r="I163" s="318">
        <v>0</v>
      </c>
      <c r="J163" s="319">
        <v>0</v>
      </c>
      <c r="K163" s="319">
        <v>0</v>
      </c>
      <c r="L163" s="319">
        <v>0</v>
      </c>
      <c r="M163" s="320">
        <v>0</v>
      </c>
    </row>
    <row r="164" spans="1:13" s="9" customFormat="1" ht="15" customHeight="1" x14ac:dyDescent="0.35">
      <c r="A164" s="202"/>
      <c r="B164" s="188"/>
      <c r="C164" s="963" t="s">
        <v>119</v>
      </c>
      <c r="D164" s="941"/>
      <c r="E164" s="942"/>
      <c r="F164" s="202"/>
      <c r="G164" s="267">
        <f t="shared" si="7"/>
        <v>991451.60000000009</v>
      </c>
      <c r="H164" s="202"/>
      <c r="I164" s="318">
        <f t="shared" ref="I164:M165" si="9">I55</f>
        <v>313988.40000000002</v>
      </c>
      <c r="J164" s="319">
        <f t="shared" si="9"/>
        <v>123749</v>
      </c>
      <c r="K164" s="319">
        <f t="shared" si="9"/>
        <v>258840</v>
      </c>
      <c r="L164" s="319">
        <f t="shared" si="9"/>
        <v>114422.20000000001</v>
      </c>
      <c r="M164" s="320">
        <f t="shared" si="9"/>
        <v>180452</v>
      </c>
    </row>
    <row r="165" spans="1:13" s="9" customFormat="1" ht="15" customHeight="1" x14ac:dyDescent="0.35">
      <c r="A165" s="202"/>
      <c r="B165" s="188"/>
      <c r="C165" s="940" t="s">
        <v>120</v>
      </c>
      <c r="D165" s="941"/>
      <c r="E165" s="942"/>
      <c r="F165" s="202"/>
      <c r="G165" s="267">
        <f t="shared" si="7"/>
        <v>5684378.6999999993</v>
      </c>
      <c r="H165" s="202"/>
      <c r="I165" s="318">
        <f t="shared" si="9"/>
        <v>883930.4</v>
      </c>
      <c r="J165" s="319">
        <f t="shared" si="9"/>
        <v>1012376</v>
      </c>
      <c r="K165" s="319">
        <f t="shared" si="9"/>
        <v>1133093.7</v>
      </c>
      <c r="L165" s="319">
        <f t="shared" si="9"/>
        <v>1026800</v>
      </c>
      <c r="M165" s="320">
        <f t="shared" si="9"/>
        <v>1628178.6</v>
      </c>
    </row>
    <row r="166" spans="1:13" s="9" customFormat="1" ht="15" customHeight="1" x14ac:dyDescent="0.35">
      <c r="A166" s="202"/>
      <c r="B166" s="188"/>
      <c r="C166" s="940" t="s">
        <v>121</v>
      </c>
      <c r="D166" s="941"/>
      <c r="E166" s="942"/>
      <c r="F166" s="202"/>
      <c r="G166" s="267">
        <f t="shared" si="7"/>
        <v>0</v>
      </c>
      <c r="H166" s="202"/>
      <c r="I166" s="318">
        <v>0</v>
      </c>
      <c r="J166" s="319">
        <v>0</v>
      </c>
      <c r="K166" s="319">
        <v>0</v>
      </c>
      <c r="L166" s="319">
        <v>0</v>
      </c>
      <c r="M166" s="320">
        <v>0</v>
      </c>
    </row>
    <row r="167" spans="1:13" s="9" customFormat="1" ht="15" customHeight="1" x14ac:dyDescent="0.35">
      <c r="A167" s="202"/>
      <c r="B167" s="188"/>
      <c r="C167" s="960" t="s">
        <v>122</v>
      </c>
      <c r="D167" s="961"/>
      <c r="E167" s="962"/>
      <c r="F167" s="202"/>
      <c r="G167" s="267">
        <f t="shared" si="7"/>
        <v>0</v>
      </c>
      <c r="H167" s="202"/>
      <c r="I167" s="318"/>
      <c r="J167" s="319"/>
      <c r="K167" s="319"/>
      <c r="L167" s="319"/>
      <c r="M167" s="320"/>
    </row>
    <row r="168" spans="1:13" s="9" customFormat="1" ht="15" customHeight="1" x14ac:dyDescent="0.35">
      <c r="A168" s="202"/>
      <c r="B168" s="188"/>
      <c r="C168" s="986" t="s">
        <v>23</v>
      </c>
      <c r="D168" s="987"/>
      <c r="E168" s="988"/>
      <c r="F168" s="202"/>
      <c r="G168" s="267">
        <f t="shared" si="7"/>
        <v>0</v>
      </c>
      <c r="H168" s="202"/>
      <c r="I168" s="318"/>
      <c r="J168" s="319"/>
      <c r="K168" s="319"/>
      <c r="L168" s="319"/>
      <c r="M168" s="320"/>
    </row>
    <row r="169" spans="1:13" s="9" customFormat="1" ht="15" customHeight="1" x14ac:dyDescent="0.35">
      <c r="A169" s="202"/>
      <c r="B169" s="188"/>
      <c r="C169" s="969" t="s">
        <v>432</v>
      </c>
      <c r="D169" s="984"/>
      <c r="E169" s="985"/>
      <c r="F169" s="202"/>
      <c r="G169" s="267">
        <f t="shared" si="7"/>
        <v>113604</v>
      </c>
      <c r="H169" s="202"/>
      <c r="I169" s="318">
        <f>I120</f>
        <v>2914</v>
      </c>
      <c r="J169" s="319">
        <f>J120</f>
        <v>18987</v>
      </c>
      <c r="K169" s="319">
        <f>K120</f>
        <v>21582</v>
      </c>
      <c r="L169" s="319">
        <f>L120</f>
        <v>4319</v>
      </c>
      <c r="M169" s="320">
        <f>M120</f>
        <v>65802</v>
      </c>
    </row>
    <row r="170" spans="1:13" s="9" customFormat="1" ht="15" customHeight="1" x14ac:dyDescent="0.35">
      <c r="A170" s="202"/>
      <c r="B170" s="188"/>
      <c r="C170" s="940" t="s">
        <v>420</v>
      </c>
      <c r="D170" s="941"/>
      <c r="E170" s="942"/>
      <c r="F170" s="202"/>
      <c r="G170" s="267">
        <f t="shared" si="7"/>
        <v>170405</v>
      </c>
      <c r="H170" s="202"/>
      <c r="I170" s="318">
        <f t="shared" ref="I170:M174" si="10">I121</f>
        <v>4370</v>
      </c>
      <c r="J170" s="319">
        <f t="shared" si="10"/>
        <v>28480</v>
      </c>
      <c r="K170" s="319">
        <f t="shared" si="10"/>
        <v>32374</v>
      </c>
      <c r="L170" s="319">
        <f t="shared" si="10"/>
        <v>6478</v>
      </c>
      <c r="M170" s="320">
        <f t="shared" si="10"/>
        <v>98703</v>
      </c>
    </row>
    <row r="171" spans="1:13" s="9" customFormat="1" ht="15" customHeight="1" x14ac:dyDescent="0.35">
      <c r="A171" s="202"/>
      <c r="B171" s="188"/>
      <c r="C171" s="940" t="s">
        <v>421</v>
      </c>
      <c r="D171" s="941"/>
      <c r="E171" s="942"/>
      <c r="F171" s="202"/>
      <c r="G171" s="267">
        <f t="shared" si="7"/>
        <v>113604</v>
      </c>
      <c r="H171" s="202"/>
      <c r="I171" s="318">
        <f t="shared" si="10"/>
        <v>2914</v>
      </c>
      <c r="J171" s="319">
        <f t="shared" si="10"/>
        <v>18987</v>
      </c>
      <c r="K171" s="319">
        <f t="shared" si="10"/>
        <v>21582</v>
      </c>
      <c r="L171" s="319">
        <f t="shared" si="10"/>
        <v>4319</v>
      </c>
      <c r="M171" s="320">
        <f t="shared" si="10"/>
        <v>65802</v>
      </c>
    </row>
    <row r="172" spans="1:13" s="9" customFormat="1" ht="15" customHeight="1" x14ac:dyDescent="0.35">
      <c r="A172" s="202"/>
      <c r="B172" s="188"/>
      <c r="C172" s="940" t="s">
        <v>422</v>
      </c>
      <c r="D172" s="941"/>
      <c r="E172" s="942"/>
      <c r="F172" s="202"/>
      <c r="G172" s="267">
        <f t="shared" si="7"/>
        <v>0</v>
      </c>
      <c r="H172" s="202"/>
      <c r="I172" s="318">
        <f t="shared" si="10"/>
        <v>0</v>
      </c>
      <c r="J172" s="319">
        <v>0</v>
      </c>
      <c r="K172" s="319">
        <v>0</v>
      </c>
      <c r="L172" s="319">
        <v>0</v>
      </c>
      <c r="M172" s="320">
        <v>0</v>
      </c>
    </row>
    <row r="173" spans="1:13" s="9" customFormat="1" ht="15" customHeight="1" x14ac:dyDescent="0.35">
      <c r="A173" s="202"/>
      <c r="B173" s="188"/>
      <c r="C173" s="940" t="s">
        <v>413</v>
      </c>
      <c r="D173" s="941"/>
      <c r="E173" s="942"/>
      <c r="F173" s="202"/>
      <c r="G173" s="267">
        <f t="shared" si="7"/>
        <v>0</v>
      </c>
      <c r="H173" s="202"/>
      <c r="I173" s="318">
        <f t="shared" si="10"/>
        <v>0</v>
      </c>
      <c r="J173" s="319">
        <v>0</v>
      </c>
      <c r="K173" s="319">
        <v>0</v>
      </c>
      <c r="L173" s="319">
        <v>0</v>
      </c>
      <c r="M173" s="320">
        <v>0</v>
      </c>
    </row>
    <row r="174" spans="1:13" s="9" customFormat="1" ht="15" customHeight="1" x14ac:dyDescent="0.35">
      <c r="A174" s="202"/>
      <c r="B174" s="188"/>
      <c r="C174" s="960" t="s">
        <v>123</v>
      </c>
      <c r="D174" s="961"/>
      <c r="E174" s="962"/>
      <c r="F174" s="202"/>
      <c r="G174" s="267">
        <f t="shared" si="7"/>
        <v>0</v>
      </c>
      <c r="H174" s="202"/>
      <c r="I174" s="318">
        <f t="shared" si="10"/>
        <v>0</v>
      </c>
      <c r="J174" s="319">
        <v>0</v>
      </c>
      <c r="K174" s="319">
        <v>0</v>
      </c>
      <c r="L174" s="319">
        <v>0</v>
      </c>
      <c r="M174" s="320">
        <v>0</v>
      </c>
    </row>
    <row r="175" spans="1:13" s="9" customFormat="1" ht="15" customHeight="1" x14ac:dyDescent="0.35">
      <c r="A175" s="202"/>
      <c r="B175" s="188"/>
      <c r="C175" s="986" t="s">
        <v>63</v>
      </c>
      <c r="D175" s="987"/>
      <c r="E175" s="988"/>
      <c r="F175" s="202"/>
      <c r="G175" s="267">
        <f t="shared" si="7"/>
        <v>0</v>
      </c>
      <c r="H175" s="202"/>
      <c r="I175" s="318"/>
      <c r="J175" s="319"/>
      <c r="K175" s="319"/>
      <c r="L175" s="319"/>
      <c r="M175" s="320"/>
    </row>
    <row r="176" spans="1:13" s="9" customFormat="1" ht="15" customHeight="1" x14ac:dyDescent="0.35">
      <c r="A176" s="202"/>
      <c r="B176" s="202"/>
      <c r="C176" s="983" t="s">
        <v>329</v>
      </c>
      <c r="D176" s="984"/>
      <c r="E176" s="985"/>
      <c r="F176" s="202"/>
      <c r="G176" s="267">
        <f t="shared" si="7"/>
        <v>0</v>
      </c>
      <c r="H176" s="202"/>
      <c r="I176" s="220"/>
      <c r="J176" s="221"/>
      <c r="K176" s="221"/>
      <c r="L176" s="221"/>
      <c r="M176" s="255"/>
    </row>
    <row r="177" spans="1:13" s="9" customFormat="1" ht="15" customHeight="1" x14ac:dyDescent="0.35">
      <c r="A177" s="202"/>
      <c r="B177" s="202"/>
      <c r="C177" s="940" t="s">
        <v>376</v>
      </c>
      <c r="D177" s="941"/>
      <c r="E177" s="942"/>
      <c r="F177" s="202"/>
      <c r="G177" s="267">
        <f t="shared" si="7"/>
        <v>0</v>
      </c>
      <c r="H177" s="202"/>
      <c r="I177" s="220"/>
      <c r="J177" s="221"/>
      <c r="K177" s="221"/>
      <c r="L177" s="221"/>
      <c r="M177" s="255"/>
    </row>
    <row r="178" spans="1:13" s="9" customFormat="1" ht="15" customHeight="1" x14ac:dyDescent="0.35">
      <c r="A178" s="202"/>
      <c r="B178" s="202"/>
      <c r="C178" s="940" t="s">
        <v>377</v>
      </c>
      <c r="D178" s="941"/>
      <c r="E178" s="942"/>
      <c r="F178" s="202"/>
      <c r="G178" s="267">
        <f t="shared" si="7"/>
        <v>0</v>
      </c>
      <c r="H178" s="202"/>
      <c r="I178" s="220"/>
      <c r="J178" s="221"/>
      <c r="K178" s="221"/>
      <c r="L178" s="221"/>
      <c r="M178" s="255"/>
    </row>
    <row r="179" spans="1:13" s="9" customFormat="1" ht="15" customHeight="1" x14ac:dyDescent="0.35">
      <c r="A179" s="202"/>
      <c r="B179" s="202"/>
      <c r="C179" s="940" t="s">
        <v>378</v>
      </c>
      <c r="D179" s="941"/>
      <c r="E179" s="942"/>
      <c r="F179" s="202"/>
      <c r="G179" s="267">
        <f t="shared" si="7"/>
        <v>0</v>
      </c>
      <c r="H179" s="202"/>
      <c r="I179" s="220"/>
      <c r="J179" s="221"/>
      <c r="K179" s="221"/>
      <c r="L179" s="221"/>
      <c r="M179" s="255"/>
    </row>
    <row r="180" spans="1:13" s="9" customFormat="1" ht="15" customHeight="1" x14ac:dyDescent="0.35">
      <c r="A180" s="202"/>
      <c r="B180" s="202"/>
      <c r="C180" s="940" t="s">
        <v>124</v>
      </c>
      <c r="D180" s="941"/>
      <c r="E180" s="942"/>
      <c r="F180" s="202"/>
      <c r="G180" s="267">
        <f t="shared" ref="G180:G189" si="11">SUM(I180:M180)</f>
        <v>0</v>
      </c>
      <c r="H180" s="202"/>
      <c r="I180" s="220"/>
      <c r="J180" s="221"/>
      <c r="K180" s="221"/>
      <c r="L180" s="221"/>
      <c r="M180" s="255"/>
    </row>
    <row r="181" spans="1:13" s="9" customFormat="1" ht="15" customHeight="1" x14ac:dyDescent="0.35">
      <c r="A181" s="202"/>
      <c r="B181" s="202"/>
      <c r="C181" s="940" t="s">
        <v>125</v>
      </c>
      <c r="D181" s="941"/>
      <c r="E181" s="942"/>
      <c r="F181" s="202"/>
      <c r="G181" s="267">
        <f t="shared" si="11"/>
        <v>0</v>
      </c>
      <c r="H181" s="202"/>
      <c r="I181" s="220"/>
      <c r="J181" s="221"/>
      <c r="K181" s="221"/>
      <c r="L181" s="221"/>
      <c r="M181" s="255"/>
    </row>
    <row r="182" spans="1:13" s="9" customFormat="1" ht="15" customHeight="1" x14ac:dyDescent="0.35">
      <c r="A182" s="202"/>
      <c r="B182" s="202"/>
      <c r="C182" s="940" t="s">
        <v>126</v>
      </c>
      <c r="D182" s="941"/>
      <c r="E182" s="942"/>
      <c r="F182" s="202"/>
      <c r="G182" s="267">
        <f t="shared" si="11"/>
        <v>0</v>
      </c>
      <c r="H182" s="202"/>
      <c r="I182" s="220"/>
      <c r="J182" s="221"/>
      <c r="K182" s="221"/>
      <c r="L182" s="221"/>
      <c r="M182" s="255"/>
    </row>
    <row r="183" spans="1:13" s="9" customFormat="1" ht="15" customHeight="1" x14ac:dyDescent="0.35">
      <c r="A183" s="202"/>
      <c r="B183" s="202"/>
      <c r="C183" s="940" t="s">
        <v>101</v>
      </c>
      <c r="D183" s="981"/>
      <c r="E183" s="982"/>
      <c r="F183" s="202"/>
      <c r="G183" s="267"/>
      <c r="H183" s="202"/>
      <c r="I183" s="220"/>
      <c r="J183" s="221"/>
      <c r="K183" s="221"/>
      <c r="L183" s="221"/>
      <c r="M183" s="255"/>
    </row>
    <row r="184" spans="1:13" s="9" customFormat="1" ht="15" customHeight="1" x14ac:dyDescent="0.35">
      <c r="A184" s="202"/>
      <c r="B184" s="202"/>
      <c r="C184" s="940" t="s">
        <v>102</v>
      </c>
      <c r="D184" s="941"/>
      <c r="E184" s="942"/>
      <c r="F184" s="202"/>
      <c r="G184" s="267">
        <f t="shared" si="11"/>
        <v>0</v>
      </c>
      <c r="H184" s="202"/>
      <c r="I184" s="220"/>
      <c r="J184" s="221"/>
      <c r="K184" s="221"/>
      <c r="L184" s="221"/>
      <c r="M184" s="255"/>
    </row>
    <row r="185" spans="1:13" s="9" customFormat="1" ht="15" customHeight="1" x14ac:dyDescent="0.35">
      <c r="A185" s="202"/>
      <c r="B185" s="202"/>
      <c r="C185" s="940" t="s">
        <v>103</v>
      </c>
      <c r="D185" s="941"/>
      <c r="E185" s="942"/>
      <c r="F185" s="202"/>
      <c r="G185" s="267">
        <f t="shared" si="11"/>
        <v>0</v>
      </c>
      <c r="H185" s="202"/>
      <c r="I185" s="220"/>
      <c r="J185" s="221"/>
      <c r="K185" s="221"/>
      <c r="L185" s="221"/>
      <c r="M185" s="255"/>
    </row>
    <row r="186" spans="1:13" s="9" customFormat="1" ht="15" customHeight="1" x14ac:dyDescent="0.35">
      <c r="A186" s="202"/>
      <c r="B186" s="202"/>
      <c r="C186" s="940" t="s">
        <v>104</v>
      </c>
      <c r="D186" s="941"/>
      <c r="E186" s="942"/>
      <c r="F186" s="202"/>
      <c r="G186" s="267">
        <f t="shared" si="11"/>
        <v>0</v>
      </c>
      <c r="H186" s="202"/>
      <c r="I186" s="220"/>
      <c r="J186" s="221"/>
      <c r="K186" s="221"/>
      <c r="L186" s="221"/>
      <c r="M186" s="255"/>
    </row>
    <row r="187" spans="1:13" s="9" customFormat="1" ht="15" customHeight="1" x14ac:dyDescent="0.35">
      <c r="A187" s="202"/>
      <c r="B187" s="202"/>
      <c r="C187" s="940" t="s">
        <v>379</v>
      </c>
      <c r="D187" s="941"/>
      <c r="E187" s="942"/>
      <c r="F187" s="202"/>
      <c r="G187" s="267">
        <f t="shared" si="11"/>
        <v>0</v>
      </c>
      <c r="H187" s="202"/>
      <c r="I187" s="220"/>
      <c r="J187" s="221"/>
      <c r="K187" s="221"/>
      <c r="L187" s="221"/>
      <c r="M187" s="255"/>
    </row>
    <row r="188" spans="1:13" s="9" customFormat="1" ht="15" customHeight="1" x14ac:dyDescent="0.35">
      <c r="A188" s="202"/>
      <c r="B188" s="202"/>
      <c r="C188" s="940" t="s">
        <v>105</v>
      </c>
      <c r="D188" s="941"/>
      <c r="E188" s="942"/>
      <c r="F188" s="202"/>
      <c r="G188" s="267">
        <f t="shared" si="11"/>
        <v>0</v>
      </c>
      <c r="H188" s="202"/>
      <c r="I188" s="220"/>
      <c r="J188" s="221"/>
      <c r="K188" s="221"/>
      <c r="L188" s="221"/>
      <c r="M188" s="255"/>
    </row>
    <row r="189" spans="1:13" s="9" customFormat="1" ht="15" customHeight="1" x14ac:dyDescent="0.35">
      <c r="A189" s="202"/>
      <c r="B189" s="202"/>
      <c r="C189" s="960" t="s">
        <v>326</v>
      </c>
      <c r="D189" s="961"/>
      <c r="E189" s="962"/>
      <c r="F189" s="202"/>
      <c r="G189" s="296">
        <f t="shared" si="11"/>
        <v>0</v>
      </c>
      <c r="H189" s="202"/>
      <c r="I189" s="228"/>
      <c r="J189" s="229"/>
      <c r="K189" s="229"/>
      <c r="L189" s="229"/>
      <c r="M189" s="256"/>
    </row>
    <row r="190" spans="1:13" s="9" customFormat="1" ht="15" x14ac:dyDescent="0.35">
      <c r="A190" s="202"/>
      <c r="B190" s="202"/>
      <c r="C190" s="230"/>
      <c r="D190" s="230"/>
      <c r="E190" s="230"/>
      <c r="F190" s="202"/>
      <c r="G190" s="188"/>
      <c r="H190" s="202"/>
      <c r="I190" s="231"/>
      <c r="J190" s="231"/>
      <c r="K190" s="231"/>
      <c r="L190" s="231"/>
      <c r="M190" s="231"/>
    </row>
    <row r="191" spans="1:13" s="8" customFormat="1" ht="15" customHeight="1" x14ac:dyDescent="0.35">
      <c r="A191" s="202"/>
      <c r="B191" s="918" t="s">
        <v>127</v>
      </c>
      <c r="C191" s="918"/>
      <c r="D191" s="918"/>
      <c r="E191" s="918"/>
      <c r="F191" s="202"/>
      <c r="G191" s="232"/>
      <c r="H191" s="202"/>
      <c r="I191" s="202"/>
      <c r="J191" s="202"/>
      <c r="K191" s="202"/>
      <c r="L191" s="202"/>
      <c r="M191" s="202"/>
    </row>
    <row r="192" spans="1:13" s="8" customFormat="1" ht="15" customHeight="1" x14ac:dyDescent="0.35">
      <c r="A192" s="202"/>
      <c r="B192" s="918" t="s">
        <v>25</v>
      </c>
      <c r="C192" s="918"/>
      <c r="D192" s="918"/>
      <c r="E192" s="918"/>
      <c r="F192" s="202"/>
      <c r="G192" s="232"/>
      <c r="H192" s="202"/>
      <c r="I192" s="178" t="str">
        <f>$I$13</f>
        <v>المؤسسة رقم 1</v>
      </c>
      <c r="J192" s="178" t="s">
        <v>67</v>
      </c>
      <c r="K192" s="178" t="s">
        <v>68</v>
      </c>
      <c r="L192" s="178" t="s">
        <v>69</v>
      </c>
      <c r="M192" s="249" t="s">
        <v>70</v>
      </c>
    </row>
    <row r="193" spans="1:13" s="8" customFormat="1" ht="15" customHeight="1" x14ac:dyDescent="0.35">
      <c r="A193" s="202"/>
      <c r="B193" s="188"/>
      <c r="C193" s="969" t="s">
        <v>433</v>
      </c>
      <c r="D193" s="970"/>
      <c r="E193" s="971"/>
      <c r="F193" s="202"/>
      <c r="G193" s="258">
        <f>SUM(I193:M193)</f>
        <v>114942</v>
      </c>
      <c r="H193" s="202"/>
      <c r="I193" s="312">
        <v>0</v>
      </c>
      <c r="J193" s="313">
        <v>21789</v>
      </c>
      <c r="K193" s="313">
        <v>30260</v>
      </c>
      <c r="L193" s="313">
        <v>7680</v>
      </c>
      <c r="M193" s="314">
        <v>55213</v>
      </c>
    </row>
    <row r="194" spans="1:13" s="9" customFormat="1" ht="15" customHeight="1" x14ac:dyDescent="0.35">
      <c r="A194" s="202"/>
      <c r="B194" s="202"/>
      <c r="C194" s="972" t="s">
        <v>400</v>
      </c>
      <c r="D194" s="973"/>
      <c r="E194" s="974"/>
      <c r="F194" s="202"/>
      <c r="G194" s="267">
        <f>SUM(I194:M194)</f>
        <v>2902963</v>
      </c>
      <c r="H194" s="202"/>
      <c r="I194" s="290">
        <v>444310</v>
      </c>
      <c r="J194" s="291">
        <v>1723810</v>
      </c>
      <c r="K194" s="291">
        <v>287398</v>
      </c>
      <c r="L194" s="291">
        <v>199176</v>
      </c>
      <c r="M194" s="292">
        <v>248269</v>
      </c>
    </row>
    <row r="195" spans="1:13" s="9" customFormat="1" ht="15" customHeight="1" x14ac:dyDescent="0.35">
      <c r="A195" s="202"/>
      <c r="B195" s="202"/>
      <c r="C195" s="972" t="s">
        <v>401</v>
      </c>
      <c r="D195" s="973"/>
      <c r="E195" s="974"/>
      <c r="F195" s="202"/>
      <c r="G195" s="267">
        <f>SUM(I195:M195)</f>
        <v>6959378</v>
      </c>
      <c r="H195" s="202"/>
      <c r="I195" s="290">
        <v>2017559</v>
      </c>
      <c r="J195" s="291">
        <v>1143337</v>
      </c>
      <c r="K195" s="291">
        <v>1422941</v>
      </c>
      <c r="L195" s="291">
        <v>1379442</v>
      </c>
      <c r="M195" s="292">
        <v>996099</v>
      </c>
    </row>
    <row r="196" spans="1:13" s="9" customFormat="1" ht="30.75" customHeight="1" x14ac:dyDescent="0.35">
      <c r="A196" s="202"/>
      <c r="B196" s="202"/>
      <c r="C196" s="963" t="s">
        <v>442</v>
      </c>
      <c r="D196" s="964"/>
      <c r="E196" s="965"/>
      <c r="F196" s="202"/>
      <c r="G196" s="860">
        <f>SUM(I196:M196)</f>
        <v>11598965</v>
      </c>
      <c r="H196" s="202"/>
      <c r="I196" s="865">
        <v>3362599</v>
      </c>
      <c r="J196" s="863">
        <v>1905562</v>
      </c>
      <c r="K196" s="863">
        <v>2371569</v>
      </c>
      <c r="L196" s="863">
        <v>2299070</v>
      </c>
      <c r="M196" s="864">
        <v>1660165</v>
      </c>
    </row>
    <row r="197" spans="1:13" s="9" customFormat="1" ht="46.5" customHeight="1" x14ac:dyDescent="0.35">
      <c r="A197" s="202"/>
      <c r="B197" s="202"/>
      <c r="C197" s="966" t="s">
        <v>431</v>
      </c>
      <c r="D197" s="967"/>
      <c r="E197" s="968"/>
      <c r="F197" s="202"/>
      <c r="G197" s="861">
        <f>SUM(I197:M197)</f>
        <v>40252867</v>
      </c>
      <c r="H197" s="202"/>
      <c r="I197" s="866">
        <v>10345435</v>
      </c>
      <c r="J197" s="867">
        <v>8453543</v>
      </c>
      <c r="K197" s="867">
        <v>7545667</v>
      </c>
      <c r="L197" s="867">
        <v>7453545</v>
      </c>
      <c r="M197" s="868">
        <v>6454677</v>
      </c>
    </row>
    <row r="198" spans="1:13" s="9" customFormat="1" ht="12" customHeight="1" x14ac:dyDescent="0.35">
      <c r="A198" s="202"/>
      <c r="B198" s="202"/>
      <c r="C198" s="224"/>
      <c r="D198" s="202"/>
      <c r="E198" s="202"/>
      <c r="F198" s="202"/>
      <c r="G198" s="225"/>
      <c r="H198" s="202"/>
      <c r="I198" s="233"/>
      <c r="J198" s="233"/>
      <c r="K198" s="233"/>
      <c r="L198" s="233"/>
      <c r="M198" s="233"/>
    </row>
    <row r="199" spans="1:13" s="8" customFormat="1" ht="15" customHeight="1" x14ac:dyDescent="0.35">
      <c r="A199" s="918" t="s">
        <v>26</v>
      </c>
      <c r="B199" s="918"/>
      <c r="C199" s="918"/>
      <c r="D199" s="918"/>
      <c r="E199" s="918"/>
      <c r="F199" s="202"/>
      <c r="G199" s="232"/>
      <c r="H199" s="202"/>
      <c r="I199" s="249" t="str">
        <f>$I$13</f>
        <v>المؤسسة رقم 1</v>
      </c>
      <c r="J199" s="178" t="s">
        <v>67</v>
      </c>
      <c r="K199" s="178" t="s">
        <v>68</v>
      </c>
      <c r="L199" s="178" t="s">
        <v>69</v>
      </c>
      <c r="M199" s="249" t="s">
        <v>70</v>
      </c>
    </row>
    <row r="200" spans="1:13" s="8" customFormat="1" ht="15" customHeight="1" x14ac:dyDescent="0.35">
      <c r="A200" s="202"/>
      <c r="B200" s="188"/>
      <c r="C200" s="969" t="s">
        <v>380</v>
      </c>
      <c r="D200" s="970"/>
      <c r="E200" s="971"/>
      <c r="F200" s="202"/>
      <c r="G200" s="258">
        <f>SUM(I200:M200)</f>
        <v>1238526</v>
      </c>
      <c r="H200" s="202"/>
      <c r="I200" s="312">
        <f>I91</f>
        <v>550408</v>
      </c>
      <c r="J200" s="313">
        <f>J91</f>
        <v>45876</v>
      </c>
      <c r="K200" s="313">
        <f>K91</f>
        <v>120454</v>
      </c>
      <c r="L200" s="313">
        <f>L91</f>
        <v>454344</v>
      </c>
      <c r="M200" s="314">
        <f>M91</f>
        <v>67444</v>
      </c>
    </row>
    <row r="201" spans="1:13" s="9" customFormat="1" ht="15" customHeight="1" x14ac:dyDescent="0.35">
      <c r="A201" s="202"/>
      <c r="B201" s="202"/>
      <c r="C201" s="963" t="s">
        <v>381</v>
      </c>
      <c r="D201" s="964"/>
      <c r="E201" s="965"/>
      <c r="F201" s="202"/>
      <c r="G201" s="267">
        <f>SUM(I201:M201)</f>
        <v>23944222</v>
      </c>
      <c r="H201" s="202"/>
      <c r="I201" s="290">
        <f>I135-I200</f>
        <v>2939268</v>
      </c>
      <c r="J201" s="291">
        <f>J135-J200</f>
        <v>5896891</v>
      </c>
      <c r="K201" s="291">
        <f>K135-K200</f>
        <v>4361298</v>
      </c>
      <c r="L201" s="291">
        <f>L135-L200</f>
        <v>4626569</v>
      </c>
      <c r="M201" s="292">
        <f>M135-M200</f>
        <v>6120196</v>
      </c>
    </row>
    <row r="202" spans="1:13" s="9" customFormat="1" ht="15" customHeight="1" x14ac:dyDescent="0.35">
      <c r="A202" s="202"/>
      <c r="B202" s="202"/>
      <c r="C202" s="963" t="s">
        <v>382</v>
      </c>
      <c r="D202" s="964"/>
      <c r="E202" s="965"/>
      <c r="F202" s="202"/>
      <c r="G202" s="267">
        <f>SUM(I202:M202)</f>
        <v>6959378</v>
      </c>
      <c r="H202" s="202"/>
      <c r="I202" s="290">
        <v>2017559</v>
      </c>
      <c r="J202" s="291">
        <v>1143337</v>
      </c>
      <c r="K202" s="291">
        <v>1422941</v>
      </c>
      <c r="L202" s="291">
        <v>1379442</v>
      </c>
      <c r="M202" s="292">
        <v>996099</v>
      </c>
    </row>
    <row r="203" spans="1:13" s="9" customFormat="1" ht="15" customHeight="1" x14ac:dyDescent="0.35">
      <c r="A203" s="202"/>
      <c r="B203" s="202"/>
      <c r="C203" s="963" t="s">
        <v>383</v>
      </c>
      <c r="D203" s="964"/>
      <c r="E203" s="965"/>
      <c r="F203" s="202"/>
      <c r="G203" s="267">
        <f>SUM(I203:M203)</f>
        <v>11598965</v>
      </c>
      <c r="H203" s="202"/>
      <c r="I203" s="290">
        <v>3362599</v>
      </c>
      <c r="J203" s="291">
        <v>1905562</v>
      </c>
      <c r="K203" s="291">
        <v>2371569</v>
      </c>
      <c r="L203" s="291">
        <v>2299070</v>
      </c>
      <c r="M203" s="292">
        <v>1660165</v>
      </c>
    </row>
    <row r="204" spans="1:13" s="9" customFormat="1" ht="45" customHeight="1" x14ac:dyDescent="0.35">
      <c r="A204" s="202"/>
      <c r="B204" s="202"/>
      <c r="C204" s="963" t="s">
        <v>384</v>
      </c>
      <c r="D204" s="964"/>
      <c r="E204" s="965"/>
      <c r="F204" s="202"/>
      <c r="G204" s="192"/>
      <c r="H204" s="202"/>
      <c r="I204" s="290"/>
      <c r="J204" s="291"/>
      <c r="K204" s="291"/>
      <c r="L204" s="291"/>
      <c r="M204" s="292"/>
    </row>
    <row r="205" spans="1:13" s="9" customFormat="1" ht="30" customHeight="1" x14ac:dyDescent="0.35">
      <c r="A205" s="202"/>
      <c r="B205" s="202"/>
      <c r="C205" s="963" t="s">
        <v>385</v>
      </c>
      <c r="D205" s="964"/>
      <c r="E205" s="965"/>
      <c r="F205" s="202"/>
      <c r="G205" s="192"/>
      <c r="H205" s="202"/>
      <c r="I205" s="208"/>
      <c r="J205" s="209"/>
      <c r="K205" s="209"/>
      <c r="L205" s="209"/>
      <c r="M205" s="253"/>
    </row>
    <row r="206" spans="1:13" s="9" customFormat="1" ht="45" customHeight="1" x14ac:dyDescent="0.35">
      <c r="A206" s="202"/>
      <c r="B206" s="202"/>
      <c r="C206" s="963" t="s">
        <v>386</v>
      </c>
      <c r="D206" s="964"/>
      <c r="E206" s="965"/>
      <c r="F206" s="202"/>
      <c r="G206" s="192"/>
      <c r="H206" s="202"/>
      <c r="I206" s="208"/>
      <c r="J206" s="209"/>
      <c r="K206" s="209"/>
      <c r="L206" s="209"/>
      <c r="M206" s="253"/>
    </row>
    <row r="207" spans="1:13" s="9" customFormat="1" ht="30" customHeight="1" x14ac:dyDescent="0.35">
      <c r="A207" s="202"/>
      <c r="B207" s="202"/>
      <c r="C207" s="966" t="s">
        <v>434</v>
      </c>
      <c r="D207" s="967"/>
      <c r="E207" s="968"/>
      <c r="F207" s="202"/>
      <c r="G207" s="217"/>
      <c r="H207" s="202"/>
      <c r="I207" s="210"/>
      <c r="J207" s="211"/>
      <c r="K207" s="211"/>
      <c r="L207" s="211"/>
      <c r="M207" s="254"/>
    </row>
    <row r="208" spans="1:13" s="9" customFormat="1" ht="27.6" customHeight="1" x14ac:dyDescent="0.35">
      <c r="A208" s="202"/>
      <c r="B208" s="202"/>
      <c r="C208" s="224"/>
      <c r="D208" s="202"/>
      <c r="E208" s="202"/>
      <c r="F208" s="202"/>
      <c r="G208" s="225"/>
      <c r="H208" s="202"/>
      <c r="I208" s="202"/>
      <c r="J208" s="202"/>
      <c r="K208" s="202"/>
      <c r="L208" s="202"/>
      <c r="M208" s="202"/>
    </row>
    <row r="209" spans="1:13" s="2" customFormat="1" ht="15" customHeight="1" x14ac:dyDescent="0.45">
      <c r="A209" s="879"/>
      <c r="B209" s="957" t="s">
        <v>37</v>
      </c>
      <c r="C209" s="958"/>
      <c r="D209" s="958"/>
      <c r="E209" s="958"/>
      <c r="F209" s="959"/>
      <c r="G209" s="234"/>
      <c r="H209" s="235"/>
      <c r="I209" s="877" t="str">
        <f>+I199</f>
        <v>المؤسسة رقم 1</v>
      </c>
      <c r="J209" s="877" t="str">
        <f>+J199</f>
        <v>المؤسسة رقم 2</v>
      </c>
      <c r="K209" s="877" t="str">
        <f>+K199</f>
        <v>المؤسسة رقم 3</v>
      </c>
      <c r="L209" s="877" t="s">
        <v>69</v>
      </c>
      <c r="M209" s="877" t="str">
        <f>+M199</f>
        <v>المؤسسة رقم 5</v>
      </c>
    </row>
    <row r="210" spans="1:13" ht="15" customHeight="1" x14ac:dyDescent="0.35">
      <c r="A210" s="879"/>
      <c r="B210" s="236"/>
      <c r="C210" s="237"/>
      <c r="D210" s="237"/>
      <c r="E210" s="237"/>
      <c r="F210" s="238"/>
      <c r="G210" s="234"/>
      <c r="H210" s="190"/>
      <c r="I210" s="239"/>
      <c r="J210" s="239"/>
      <c r="K210" s="239"/>
      <c r="L210" s="239"/>
      <c r="M210" s="239"/>
    </row>
    <row r="211" spans="1:13" ht="15" customHeight="1" x14ac:dyDescent="0.35">
      <c r="A211" s="879"/>
      <c r="B211" s="989" t="s">
        <v>64</v>
      </c>
      <c r="C211" s="990"/>
      <c r="D211" s="990"/>
      <c r="E211" s="990"/>
      <c r="F211" s="240"/>
      <c r="G211" s="234"/>
      <c r="H211" s="190"/>
      <c r="I211" s="239"/>
      <c r="J211" s="239"/>
      <c r="K211" s="239"/>
      <c r="L211" s="239"/>
      <c r="M211" s="239"/>
    </row>
    <row r="212" spans="1:13" ht="15" customHeight="1" x14ac:dyDescent="0.35">
      <c r="A212" s="1000" t="s">
        <v>402</v>
      </c>
      <c r="B212" s="1000"/>
      <c r="C212" s="1000"/>
      <c r="D212" s="1000"/>
      <c r="E212" s="1000"/>
      <c r="F212" s="243"/>
      <c r="G212" s="361">
        <f t="shared" ref="G212:G222" si="12">SUM(I212:BG212)</f>
        <v>47619879</v>
      </c>
      <c r="H212" s="176"/>
      <c r="I212" s="870">
        <f>SUM(I213:I216)</f>
        <v>8288248</v>
      </c>
      <c r="J212" s="871">
        <f>SUM(J213:J216)</f>
        <v>11321308</v>
      </c>
      <c r="K212" s="871">
        <f>SUM(K213:K216)</f>
        <v>7475925</v>
      </c>
      <c r="L212" s="871">
        <f>SUM(L213:L216)</f>
        <v>12165526</v>
      </c>
      <c r="M212" s="872">
        <f>SUM(M213:M216)</f>
        <v>8368872</v>
      </c>
    </row>
    <row r="213" spans="1:13" ht="15" customHeight="1" x14ac:dyDescent="0.35">
      <c r="A213" s="879"/>
      <c r="B213" s="241"/>
      <c r="C213" s="241"/>
      <c r="D213" s="1001" t="s">
        <v>1</v>
      </c>
      <c r="E213" s="1002"/>
      <c r="F213" s="243"/>
      <c r="G213" s="362">
        <f t="shared" si="12"/>
        <v>33367684</v>
      </c>
      <c r="H213" s="176"/>
      <c r="I213" s="873">
        <v>5042648</v>
      </c>
      <c r="J213" s="874">
        <v>8035467</v>
      </c>
      <c r="K213" s="874">
        <v>5483331</v>
      </c>
      <c r="L213" s="874">
        <v>8667961</v>
      </c>
      <c r="M213" s="875">
        <v>6138277</v>
      </c>
    </row>
    <row r="214" spans="1:13" ht="15" customHeight="1" x14ac:dyDescent="0.35">
      <c r="A214" s="879"/>
      <c r="B214" s="241"/>
      <c r="C214" s="241"/>
      <c r="D214" s="1003" t="s">
        <v>7</v>
      </c>
      <c r="E214" s="1004"/>
      <c r="F214" s="243"/>
      <c r="G214" s="362">
        <f t="shared" si="12"/>
        <v>8016949</v>
      </c>
      <c r="H214" s="176"/>
      <c r="I214" s="873">
        <v>2799588</v>
      </c>
      <c r="J214" s="874">
        <v>1712573</v>
      </c>
      <c r="K214" s="874">
        <v>1204858</v>
      </c>
      <c r="L214" s="874">
        <v>951160</v>
      </c>
      <c r="M214" s="875">
        <v>1348770</v>
      </c>
    </row>
    <row r="215" spans="1:13" ht="15" customHeight="1" x14ac:dyDescent="0.35">
      <c r="A215" s="879"/>
      <c r="B215" s="241"/>
      <c r="C215" s="241"/>
      <c r="D215" s="1003" t="s">
        <v>8</v>
      </c>
      <c r="E215" s="1004"/>
      <c r="F215" s="243"/>
      <c r="G215" s="362">
        <f t="shared" si="12"/>
        <v>6128647</v>
      </c>
      <c r="H215" s="176"/>
      <c r="I215" s="873">
        <v>445978</v>
      </c>
      <c r="J215" s="874">
        <v>1534228</v>
      </c>
      <c r="K215" s="874">
        <v>777972</v>
      </c>
      <c r="L215" s="874">
        <v>2499574</v>
      </c>
      <c r="M215" s="875">
        <v>870895</v>
      </c>
    </row>
    <row r="216" spans="1:13" ht="15" customHeight="1" x14ac:dyDescent="0.35">
      <c r="A216" s="879"/>
      <c r="B216" s="241"/>
      <c r="C216" s="241"/>
      <c r="D216" s="1003" t="s">
        <v>9</v>
      </c>
      <c r="E216" s="1004"/>
      <c r="F216" s="243"/>
      <c r="G216" s="362">
        <f t="shared" si="12"/>
        <v>106599</v>
      </c>
      <c r="H216" s="176"/>
      <c r="I216" s="873">
        <v>34</v>
      </c>
      <c r="J216" s="874">
        <v>39040</v>
      </c>
      <c r="K216" s="874">
        <v>9764</v>
      </c>
      <c r="L216" s="874">
        <v>46831</v>
      </c>
      <c r="M216" s="875">
        <v>10930</v>
      </c>
    </row>
    <row r="217" spans="1:13" ht="15" customHeight="1" x14ac:dyDescent="0.35">
      <c r="A217" s="879"/>
      <c r="B217" s="241"/>
      <c r="C217" s="241"/>
      <c r="D217" s="807"/>
      <c r="E217" s="812"/>
      <c r="F217" s="243"/>
      <c r="G217" s="362">
        <f t="shared" si="12"/>
        <v>0</v>
      </c>
      <c r="H217" s="176"/>
      <c r="I217" s="873"/>
      <c r="J217" s="874"/>
      <c r="K217" s="874"/>
      <c r="L217" s="874"/>
      <c r="M217" s="875"/>
    </row>
    <row r="218" spans="1:13" ht="15" customHeight="1" x14ac:dyDescent="0.35">
      <c r="A218" s="879"/>
      <c r="B218" s="241"/>
      <c r="C218" s="241"/>
      <c r="D218" s="807"/>
      <c r="E218" s="812"/>
      <c r="F218" s="243"/>
      <c r="G218" s="362">
        <f t="shared" si="12"/>
        <v>0</v>
      </c>
      <c r="H218" s="176"/>
      <c r="I218" s="817"/>
      <c r="J218" s="358"/>
      <c r="K218" s="358"/>
      <c r="L218" s="358"/>
      <c r="M218" s="818"/>
    </row>
    <row r="219" spans="1:13" ht="15" customHeight="1" x14ac:dyDescent="0.35">
      <c r="A219" s="879"/>
      <c r="B219" s="241"/>
      <c r="C219" s="241"/>
      <c r="D219" s="807"/>
      <c r="E219" s="812"/>
      <c r="F219" s="243"/>
      <c r="G219" s="362">
        <f t="shared" si="12"/>
        <v>0</v>
      </c>
      <c r="H219" s="176"/>
      <c r="I219" s="817"/>
      <c r="J219" s="358"/>
      <c r="K219" s="358"/>
      <c r="L219" s="358"/>
      <c r="M219" s="818"/>
    </row>
    <row r="220" spans="1:13" ht="15" customHeight="1" x14ac:dyDescent="0.35">
      <c r="A220" s="879"/>
      <c r="B220" s="241"/>
      <c r="C220" s="241"/>
      <c r="D220" s="807"/>
      <c r="E220" s="812"/>
      <c r="F220" s="243"/>
      <c r="G220" s="362">
        <f t="shared" si="12"/>
        <v>0</v>
      </c>
      <c r="H220" s="176"/>
      <c r="I220" s="817"/>
      <c r="J220" s="358"/>
      <c r="K220" s="358"/>
      <c r="L220" s="358"/>
      <c r="M220" s="818"/>
    </row>
    <row r="221" spans="1:13" ht="15" customHeight="1" x14ac:dyDescent="0.35">
      <c r="A221" s="879"/>
      <c r="B221" s="241"/>
      <c r="C221" s="241"/>
      <c r="D221" s="807"/>
      <c r="E221" s="812"/>
      <c r="F221" s="243"/>
      <c r="G221" s="362">
        <f t="shared" si="12"/>
        <v>0</v>
      </c>
      <c r="H221" s="176"/>
      <c r="I221" s="817"/>
      <c r="J221" s="358"/>
      <c r="K221" s="358"/>
      <c r="L221" s="358"/>
      <c r="M221" s="818"/>
    </row>
    <row r="222" spans="1:13" ht="15" customHeight="1" x14ac:dyDescent="0.35">
      <c r="A222" s="879"/>
      <c r="B222" s="241"/>
      <c r="C222" s="241"/>
      <c r="D222" s="808"/>
      <c r="E222" s="813"/>
      <c r="F222" s="243"/>
      <c r="G222" s="363">
        <f t="shared" si="12"/>
        <v>0</v>
      </c>
      <c r="H222" s="176"/>
      <c r="I222" s="819"/>
      <c r="J222" s="820"/>
      <c r="K222" s="820"/>
      <c r="L222" s="820"/>
      <c r="M222" s="821"/>
    </row>
    <row r="223" spans="1:13" ht="15" customHeight="1" x14ac:dyDescent="0.35">
      <c r="A223" s="879"/>
      <c r="B223" s="246"/>
      <c r="C223" s="246"/>
      <c r="D223" s="246"/>
      <c r="E223" s="246"/>
      <c r="F223" s="246"/>
      <c r="G223" s="364"/>
      <c r="H223" s="176"/>
      <c r="I223" s="359"/>
      <c r="J223" s="359"/>
      <c r="K223" s="359"/>
      <c r="L223" s="359"/>
      <c r="M223" s="359"/>
    </row>
    <row r="224" spans="1:13" ht="15" customHeight="1" x14ac:dyDescent="0.35">
      <c r="A224" s="879"/>
      <c r="B224" s="241"/>
      <c r="C224" s="1000" t="s">
        <v>131</v>
      </c>
      <c r="D224" s="1000"/>
      <c r="E224" s="1000"/>
      <c r="F224" s="243"/>
      <c r="G224" s="361">
        <f t="shared" ref="G224:G234" si="13">SUM(I224:BG224)</f>
        <v>21846284</v>
      </c>
      <c r="H224" s="176"/>
      <c r="I224" s="814">
        <f>SUM(I225:I228)</f>
        <v>4946018</v>
      </c>
      <c r="J224" s="815">
        <f>SUM(J225:J228)</f>
        <v>3015155</v>
      </c>
      <c r="K224" s="815">
        <f>SUM(K225:K228)</f>
        <v>6184798</v>
      </c>
      <c r="L224" s="815">
        <f>SUM(L225:L228)</f>
        <v>2556521</v>
      </c>
      <c r="M224" s="816">
        <f>SUM(M225:M228)</f>
        <v>5143792</v>
      </c>
    </row>
    <row r="225" spans="1:13" ht="15" customHeight="1" x14ac:dyDescent="0.35">
      <c r="A225" s="879"/>
      <c r="B225" s="241"/>
      <c r="C225" s="241"/>
      <c r="D225" s="1001" t="s">
        <v>1</v>
      </c>
      <c r="E225" s="1002"/>
      <c r="F225" s="243"/>
      <c r="G225" s="362">
        <f t="shared" si="13"/>
        <v>8144269</v>
      </c>
      <c r="H225" s="176"/>
      <c r="I225" s="873">
        <v>1739799</v>
      </c>
      <c r="J225" s="874">
        <v>1097730</v>
      </c>
      <c r="K225" s="874">
        <v>2363763</v>
      </c>
      <c r="L225" s="874">
        <v>977075</v>
      </c>
      <c r="M225" s="875">
        <v>1965902</v>
      </c>
    </row>
    <row r="226" spans="1:13" ht="15" customHeight="1" x14ac:dyDescent="0.35">
      <c r="A226" s="879"/>
      <c r="B226" s="241"/>
      <c r="C226" s="241"/>
      <c r="D226" s="1003" t="s">
        <v>7</v>
      </c>
      <c r="E226" s="1004"/>
      <c r="F226" s="243"/>
      <c r="G226" s="362">
        <f t="shared" si="13"/>
        <v>9890727</v>
      </c>
      <c r="H226" s="176"/>
      <c r="I226" s="873">
        <v>2407523</v>
      </c>
      <c r="J226" s="874">
        <v>1809525</v>
      </c>
      <c r="K226" s="874">
        <v>2527208</v>
      </c>
      <c r="L226" s="874">
        <v>1044635</v>
      </c>
      <c r="M226" s="875">
        <v>2101836</v>
      </c>
    </row>
    <row r="227" spans="1:13" ht="15" customHeight="1" x14ac:dyDescent="0.35">
      <c r="A227" s="879"/>
      <c r="B227" s="241"/>
      <c r="C227" s="241"/>
      <c r="D227" s="1003" t="s">
        <v>8</v>
      </c>
      <c r="E227" s="1004"/>
      <c r="F227" s="243"/>
      <c r="G227" s="362">
        <f t="shared" si="13"/>
        <v>2894820</v>
      </c>
      <c r="H227" s="176"/>
      <c r="I227" s="817">
        <v>419770</v>
      </c>
      <c r="J227" s="358">
        <v>95511</v>
      </c>
      <c r="K227" s="358">
        <v>1059910</v>
      </c>
      <c r="L227" s="358">
        <v>438120</v>
      </c>
      <c r="M227" s="818">
        <v>881509</v>
      </c>
    </row>
    <row r="228" spans="1:13" ht="15" customHeight="1" x14ac:dyDescent="0.35">
      <c r="A228" s="879"/>
      <c r="B228" s="241"/>
      <c r="C228" s="241"/>
      <c r="D228" s="1003" t="s">
        <v>9</v>
      </c>
      <c r="E228" s="1004"/>
      <c r="F228" s="243"/>
      <c r="G228" s="362">
        <f t="shared" si="13"/>
        <v>916468</v>
      </c>
      <c r="H228" s="176"/>
      <c r="I228" s="817">
        <v>378926</v>
      </c>
      <c r="J228" s="358">
        <v>12389</v>
      </c>
      <c r="K228" s="358">
        <v>233917</v>
      </c>
      <c r="L228" s="358">
        <v>96691</v>
      </c>
      <c r="M228" s="818">
        <v>194545</v>
      </c>
    </row>
    <row r="229" spans="1:13" ht="15" customHeight="1" x14ac:dyDescent="0.45">
      <c r="A229" s="879"/>
      <c r="B229" s="241"/>
      <c r="C229" s="241"/>
      <c r="D229" s="807"/>
      <c r="E229" s="812"/>
      <c r="F229" s="243"/>
      <c r="G229" s="362">
        <f t="shared" si="13"/>
        <v>0</v>
      </c>
      <c r="H229" s="176"/>
      <c r="I229" s="822"/>
      <c r="J229" s="244"/>
      <c r="K229" s="244"/>
      <c r="L229" s="244"/>
      <c r="M229" s="823"/>
    </row>
    <row r="230" spans="1:13" ht="15" customHeight="1" x14ac:dyDescent="0.45">
      <c r="A230" s="879"/>
      <c r="B230" s="241"/>
      <c r="C230" s="241"/>
      <c r="D230" s="807"/>
      <c r="E230" s="812"/>
      <c r="F230" s="243"/>
      <c r="G230" s="362">
        <f t="shared" si="13"/>
        <v>0</v>
      </c>
      <c r="H230" s="176"/>
      <c r="I230" s="822"/>
      <c r="J230" s="244"/>
      <c r="K230" s="244"/>
      <c r="L230" s="244"/>
      <c r="M230" s="823"/>
    </row>
    <row r="231" spans="1:13" ht="15" customHeight="1" x14ac:dyDescent="0.45">
      <c r="A231" s="879"/>
      <c r="B231" s="241"/>
      <c r="C231" s="241"/>
      <c r="D231" s="807"/>
      <c r="E231" s="812"/>
      <c r="F231" s="243"/>
      <c r="G231" s="362">
        <f t="shared" si="13"/>
        <v>0</v>
      </c>
      <c r="H231" s="176"/>
      <c r="I231" s="822"/>
      <c r="J231" s="244"/>
      <c r="K231" s="244"/>
      <c r="L231" s="244"/>
      <c r="M231" s="823"/>
    </row>
    <row r="232" spans="1:13" ht="15" customHeight="1" x14ac:dyDescent="0.45">
      <c r="A232" s="879"/>
      <c r="B232" s="241"/>
      <c r="C232" s="241"/>
      <c r="D232" s="807"/>
      <c r="E232" s="812"/>
      <c r="F232" s="243"/>
      <c r="G232" s="362">
        <f t="shared" si="13"/>
        <v>0</v>
      </c>
      <c r="H232" s="176"/>
      <c r="I232" s="822"/>
      <c r="J232" s="244"/>
      <c r="K232" s="244"/>
      <c r="L232" s="244"/>
      <c r="M232" s="823"/>
    </row>
    <row r="233" spans="1:13" ht="15" customHeight="1" x14ac:dyDescent="0.45">
      <c r="A233" s="879"/>
      <c r="B233" s="241"/>
      <c r="C233" s="241"/>
      <c r="D233" s="807"/>
      <c r="E233" s="812"/>
      <c r="F233" s="243"/>
      <c r="G233" s="362">
        <f t="shared" si="13"/>
        <v>0</v>
      </c>
      <c r="H233" s="176"/>
      <c r="I233" s="822"/>
      <c r="J233" s="244"/>
      <c r="K233" s="244"/>
      <c r="L233" s="244"/>
      <c r="M233" s="823"/>
    </row>
    <row r="234" spans="1:13" ht="15" customHeight="1" x14ac:dyDescent="0.45">
      <c r="A234" s="879"/>
      <c r="B234" s="241"/>
      <c r="C234" s="241"/>
      <c r="D234" s="808"/>
      <c r="E234" s="813"/>
      <c r="F234" s="243"/>
      <c r="G234" s="363">
        <f t="shared" si="13"/>
        <v>0</v>
      </c>
      <c r="H234" s="176"/>
      <c r="I234" s="824"/>
      <c r="J234" s="825"/>
      <c r="K234" s="825"/>
      <c r="L234" s="825"/>
      <c r="M234" s="826"/>
    </row>
    <row r="235" spans="1:13" ht="15" customHeight="1" x14ac:dyDescent="0.35">
      <c r="A235" s="879"/>
      <c r="B235" s="236"/>
      <c r="C235" s="237"/>
      <c r="D235" s="237"/>
      <c r="E235" s="237"/>
      <c r="F235" s="243"/>
      <c r="G235" s="190"/>
      <c r="H235" s="176"/>
      <c r="I235" s="239"/>
      <c r="J235" s="239"/>
      <c r="K235" s="239"/>
      <c r="L235" s="239"/>
      <c r="M235" s="239"/>
    </row>
    <row r="236" spans="1:13" ht="15" customHeight="1" x14ac:dyDescent="0.35">
      <c r="A236" s="879"/>
      <c r="B236" s="241"/>
      <c r="C236" s="1000" t="s">
        <v>132</v>
      </c>
      <c r="D236" s="1000"/>
      <c r="E236" s="1000"/>
      <c r="F236" s="243"/>
      <c r="G236" s="361">
        <f t="shared" ref="G236:G246" si="14">SUM(I236:BG236)</f>
        <v>5222596</v>
      </c>
      <c r="H236" s="176"/>
      <c r="I236" s="814">
        <f>SUM(I237:I240)</f>
        <v>619801</v>
      </c>
      <c r="J236" s="815">
        <f>SUM(J237:J240)</f>
        <v>745938</v>
      </c>
      <c r="K236" s="815">
        <f>SUM(K237:K240)</f>
        <v>1298261</v>
      </c>
      <c r="L236" s="815">
        <f>SUM(L237:L240)</f>
        <v>2433228</v>
      </c>
      <c r="M236" s="816">
        <f>SUM(M237:M240)</f>
        <v>125368</v>
      </c>
    </row>
    <row r="237" spans="1:13" ht="15" customHeight="1" x14ac:dyDescent="0.35">
      <c r="A237" s="879"/>
      <c r="B237" s="241"/>
      <c r="C237" s="241"/>
      <c r="D237" s="1001" t="str">
        <f>D225</f>
        <v>أقل من 3 أشهر</v>
      </c>
      <c r="E237" s="1002"/>
      <c r="F237" s="243"/>
      <c r="G237" s="362">
        <f t="shared" si="14"/>
        <v>0</v>
      </c>
      <c r="H237" s="176"/>
      <c r="I237" s="873">
        <v>0</v>
      </c>
      <c r="J237" s="874">
        <v>0</v>
      </c>
      <c r="K237" s="874">
        <v>0</v>
      </c>
      <c r="L237" s="874">
        <v>0</v>
      </c>
      <c r="M237" s="875">
        <v>0</v>
      </c>
    </row>
    <row r="238" spans="1:13" ht="15" customHeight="1" x14ac:dyDescent="0.35">
      <c r="A238" s="879"/>
      <c r="B238" s="241"/>
      <c r="C238" s="241"/>
      <c r="D238" s="1003" t="str">
        <f>D226</f>
        <v>من 3 أشهر إلى 12 شهرًا</v>
      </c>
      <c r="E238" s="1004"/>
      <c r="F238" s="243"/>
      <c r="G238" s="362">
        <f t="shared" si="14"/>
        <v>1207497</v>
      </c>
      <c r="H238" s="176"/>
      <c r="I238" s="873">
        <v>137555</v>
      </c>
      <c r="J238" s="874">
        <v>316642</v>
      </c>
      <c r="K238" s="874">
        <v>288128</v>
      </c>
      <c r="L238" s="874">
        <v>437349</v>
      </c>
      <c r="M238" s="875">
        <v>27823</v>
      </c>
    </row>
    <row r="239" spans="1:13" ht="15" customHeight="1" x14ac:dyDescent="0.35">
      <c r="A239" s="879"/>
      <c r="B239" s="241"/>
      <c r="C239" s="241"/>
      <c r="D239" s="1003" t="str">
        <f>D227</f>
        <v>من سنة إلى 5 سنوات</v>
      </c>
      <c r="E239" s="1004"/>
      <c r="F239" s="243"/>
      <c r="G239" s="362">
        <f t="shared" si="14"/>
        <v>4015099</v>
      </c>
      <c r="H239" s="176"/>
      <c r="I239" s="817">
        <v>482246</v>
      </c>
      <c r="J239" s="358">
        <v>429296</v>
      </c>
      <c r="K239" s="358">
        <v>1010133</v>
      </c>
      <c r="L239" s="358">
        <v>1995879</v>
      </c>
      <c r="M239" s="818">
        <v>97545</v>
      </c>
    </row>
    <row r="240" spans="1:13" ht="15" customHeight="1" x14ac:dyDescent="0.35">
      <c r="A240" s="879"/>
      <c r="B240" s="241"/>
      <c r="C240" s="241"/>
      <c r="D240" s="1003" t="str">
        <f>D228</f>
        <v>أكثر من 5 سنوات</v>
      </c>
      <c r="E240" s="1004"/>
      <c r="F240" s="243"/>
      <c r="G240" s="362">
        <f t="shared" si="14"/>
        <v>0</v>
      </c>
      <c r="H240" s="176"/>
      <c r="I240" s="817">
        <v>0</v>
      </c>
      <c r="J240" s="358">
        <v>0</v>
      </c>
      <c r="K240" s="358">
        <v>0</v>
      </c>
      <c r="L240" s="358">
        <v>0</v>
      </c>
      <c r="M240" s="818">
        <v>0</v>
      </c>
    </row>
    <row r="241" spans="1:13" ht="15" customHeight="1" x14ac:dyDescent="0.45">
      <c r="A241" s="879"/>
      <c r="B241" s="241"/>
      <c r="C241" s="241"/>
      <c r="D241" s="807"/>
      <c r="E241" s="812"/>
      <c r="F241" s="243"/>
      <c r="G241" s="362">
        <f t="shared" si="14"/>
        <v>0</v>
      </c>
      <c r="H241" s="176"/>
      <c r="I241" s="822"/>
      <c r="J241" s="244"/>
      <c r="K241" s="244"/>
      <c r="L241" s="244"/>
      <c r="M241" s="823"/>
    </row>
    <row r="242" spans="1:13" ht="15" customHeight="1" x14ac:dyDescent="0.45">
      <c r="A242" s="879"/>
      <c r="B242" s="241"/>
      <c r="C242" s="241"/>
      <c r="D242" s="807"/>
      <c r="E242" s="812"/>
      <c r="F242" s="243"/>
      <c r="G242" s="362">
        <f t="shared" si="14"/>
        <v>0</v>
      </c>
      <c r="H242" s="176"/>
      <c r="I242" s="822"/>
      <c r="J242" s="244"/>
      <c r="K242" s="244"/>
      <c r="L242" s="244"/>
      <c r="M242" s="823"/>
    </row>
    <row r="243" spans="1:13" ht="15" customHeight="1" x14ac:dyDescent="0.45">
      <c r="A243" s="879"/>
      <c r="B243" s="241"/>
      <c r="C243" s="241"/>
      <c r="D243" s="807"/>
      <c r="E243" s="812"/>
      <c r="F243" s="243"/>
      <c r="G243" s="362">
        <f t="shared" si="14"/>
        <v>0</v>
      </c>
      <c r="H243" s="176"/>
      <c r="I243" s="822"/>
      <c r="J243" s="244"/>
      <c r="K243" s="244"/>
      <c r="L243" s="244"/>
      <c r="M243" s="823"/>
    </row>
    <row r="244" spans="1:13" ht="15" customHeight="1" x14ac:dyDescent="0.45">
      <c r="A244" s="879"/>
      <c r="B244" s="241"/>
      <c r="C244" s="241"/>
      <c r="D244" s="807"/>
      <c r="E244" s="812"/>
      <c r="F244" s="243"/>
      <c r="G244" s="362">
        <f t="shared" si="14"/>
        <v>0</v>
      </c>
      <c r="H244" s="176"/>
      <c r="I244" s="822"/>
      <c r="J244" s="244"/>
      <c r="K244" s="244"/>
      <c r="L244" s="244"/>
      <c r="M244" s="823"/>
    </row>
    <row r="245" spans="1:13" ht="15" customHeight="1" x14ac:dyDescent="0.45">
      <c r="A245" s="879"/>
      <c r="B245" s="241"/>
      <c r="C245" s="241"/>
      <c r="D245" s="807"/>
      <c r="E245" s="812"/>
      <c r="F245" s="243"/>
      <c r="G245" s="362">
        <f t="shared" si="14"/>
        <v>0</v>
      </c>
      <c r="H245" s="176"/>
      <c r="I245" s="822"/>
      <c r="J245" s="244"/>
      <c r="K245" s="244"/>
      <c r="L245" s="244"/>
      <c r="M245" s="823"/>
    </row>
    <row r="246" spans="1:13" ht="15" customHeight="1" x14ac:dyDescent="0.45">
      <c r="A246" s="879"/>
      <c r="B246" s="241"/>
      <c r="C246" s="241"/>
      <c r="D246" s="808"/>
      <c r="E246" s="813"/>
      <c r="F246" s="243"/>
      <c r="G246" s="363">
        <f t="shared" si="14"/>
        <v>0</v>
      </c>
      <c r="H246" s="176"/>
      <c r="I246" s="824"/>
      <c r="J246" s="825"/>
      <c r="K246" s="825"/>
      <c r="L246" s="825"/>
      <c r="M246" s="826"/>
    </row>
    <row r="247" spans="1:13" ht="15" customHeight="1" x14ac:dyDescent="0.35">
      <c r="A247" s="879"/>
      <c r="B247" s="236"/>
      <c r="C247" s="237"/>
      <c r="D247" s="237"/>
      <c r="E247" s="237"/>
      <c r="F247" s="243"/>
      <c r="G247" s="190"/>
      <c r="H247" s="176"/>
      <c r="I247" s="239"/>
      <c r="J247" s="239"/>
      <c r="K247" s="239"/>
      <c r="L247" s="239"/>
      <c r="M247" s="239"/>
    </row>
    <row r="248" spans="1:13" ht="15" customHeight="1" x14ac:dyDescent="0.45">
      <c r="A248" s="879"/>
      <c r="B248" s="241"/>
      <c r="C248" s="1000" t="s">
        <v>454</v>
      </c>
      <c r="D248" s="1000"/>
      <c r="E248" s="1000"/>
      <c r="F248" s="243"/>
      <c r="G248" s="361">
        <f t="shared" ref="G248:G258" si="15">SUM(I248:BG248)</f>
        <v>0</v>
      </c>
      <c r="H248" s="176"/>
      <c r="I248" s="244"/>
      <c r="J248" s="244"/>
      <c r="K248" s="244"/>
      <c r="L248" s="244"/>
      <c r="M248" s="244"/>
    </row>
    <row r="249" spans="1:13" ht="15" customHeight="1" x14ac:dyDescent="0.35">
      <c r="A249" s="879"/>
      <c r="B249" s="241"/>
      <c r="C249" s="241"/>
      <c r="D249" s="1001" t="str">
        <f>D237</f>
        <v>أقل من 3 أشهر</v>
      </c>
      <c r="E249" s="1002"/>
      <c r="F249" s="243"/>
      <c r="G249" s="362">
        <f t="shared" si="15"/>
        <v>0</v>
      </c>
      <c r="H249" s="176"/>
      <c r="I249" s="245"/>
      <c r="J249" s="245"/>
      <c r="K249" s="245"/>
      <c r="L249" s="245"/>
      <c r="M249" s="245"/>
    </row>
    <row r="250" spans="1:13" ht="15" customHeight="1" x14ac:dyDescent="0.35">
      <c r="A250" s="879"/>
      <c r="B250" s="241"/>
      <c r="C250" s="241"/>
      <c r="D250" s="1003" t="str">
        <f>D238</f>
        <v>من 3 أشهر إلى 12 شهرًا</v>
      </c>
      <c r="E250" s="1004"/>
      <c r="F250" s="243"/>
      <c r="G250" s="362">
        <f t="shared" si="15"/>
        <v>0</v>
      </c>
      <c r="H250" s="176"/>
      <c r="I250" s="245"/>
      <c r="J250" s="245"/>
      <c r="K250" s="245"/>
      <c r="L250" s="245"/>
      <c r="M250" s="245"/>
    </row>
    <row r="251" spans="1:13" ht="15" customHeight="1" x14ac:dyDescent="0.45">
      <c r="A251" s="879"/>
      <c r="B251" s="241"/>
      <c r="C251" s="241"/>
      <c r="D251" s="1003" t="str">
        <f>D239</f>
        <v>من سنة إلى 5 سنوات</v>
      </c>
      <c r="E251" s="1004"/>
      <c r="F251" s="243"/>
      <c r="G251" s="362">
        <f t="shared" si="15"/>
        <v>0</v>
      </c>
      <c r="H251" s="176"/>
      <c r="I251" s="244"/>
      <c r="J251" s="244"/>
      <c r="K251" s="244"/>
      <c r="L251" s="244"/>
      <c r="M251" s="244"/>
    </row>
    <row r="252" spans="1:13" ht="15" customHeight="1" x14ac:dyDescent="0.45">
      <c r="A252" s="879"/>
      <c r="B252" s="241"/>
      <c r="C252" s="241"/>
      <c r="D252" s="1003" t="str">
        <f>D240</f>
        <v>أكثر من 5 سنوات</v>
      </c>
      <c r="E252" s="1004"/>
      <c r="F252" s="243"/>
      <c r="G252" s="362">
        <f t="shared" si="15"/>
        <v>0</v>
      </c>
      <c r="H252" s="176"/>
      <c r="I252" s="244"/>
      <c r="J252" s="244"/>
      <c r="K252" s="244"/>
      <c r="L252" s="244"/>
      <c r="M252" s="244"/>
    </row>
    <row r="253" spans="1:13" ht="15" customHeight="1" x14ac:dyDescent="0.45">
      <c r="A253" s="879"/>
      <c r="B253" s="241"/>
      <c r="C253" s="241"/>
      <c r="D253" s="807"/>
      <c r="E253" s="812"/>
      <c r="F253" s="243"/>
      <c r="G253" s="362">
        <f t="shared" si="15"/>
        <v>0</v>
      </c>
      <c r="H253" s="176"/>
      <c r="I253" s="244"/>
      <c r="J253" s="244"/>
      <c r="K253" s="244"/>
      <c r="L253" s="244"/>
      <c r="M253" s="244"/>
    </row>
    <row r="254" spans="1:13" ht="15" customHeight="1" x14ac:dyDescent="0.45">
      <c r="A254" s="879"/>
      <c r="B254" s="241"/>
      <c r="C254" s="241"/>
      <c r="D254" s="807"/>
      <c r="E254" s="812"/>
      <c r="F254" s="243"/>
      <c r="G254" s="362">
        <f t="shared" si="15"/>
        <v>0</v>
      </c>
      <c r="H254" s="176"/>
      <c r="I254" s="244"/>
      <c r="J254" s="244"/>
      <c r="K254" s="244"/>
      <c r="L254" s="244"/>
      <c r="M254" s="244"/>
    </row>
    <row r="255" spans="1:13" ht="15" customHeight="1" x14ac:dyDescent="0.45">
      <c r="A255" s="879"/>
      <c r="B255" s="241"/>
      <c r="C255" s="241"/>
      <c r="D255" s="807"/>
      <c r="E255" s="812"/>
      <c r="F255" s="243"/>
      <c r="G255" s="362">
        <f t="shared" si="15"/>
        <v>0</v>
      </c>
      <c r="H255" s="176"/>
      <c r="I255" s="244"/>
      <c r="J255" s="244"/>
      <c r="K255" s="244"/>
      <c r="L255" s="244"/>
      <c r="M255" s="244"/>
    </row>
    <row r="256" spans="1:13" ht="15" customHeight="1" x14ac:dyDescent="0.45">
      <c r="A256" s="879"/>
      <c r="B256" s="241"/>
      <c r="C256" s="241"/>
      <c r="D256" s="807"/>
      <c r="E256" s="812"/>
      <c r="F256" s="243"/>
      <c r="G256" s="362">
        <f t="shared" si="15"/>
        <v>0</v>
      </c>
      <c r="H256" s="176"/>
      <c r="I256" s="244"/>
      <c r="J256" s="244"/>
      <c r="K256" s="244"/>
      <c r="L256" s="244"/>
      <c r="M256" s="244"/>
    </row>
    <row r="257" spans="1:13" ht="15" customHeight="1" x14ac:dyDescent="0.45">
      <c r="A257" s="879"/>
      <c r="B257" s="241"/>
      <c r="C257" s="241"/>
      <c r="D257" s="807"/>
      <c r="E257" s="812"/>
      <c r="F257" s="243"/>
      <c r="G257" s="362">
        <f t="shared" si="15"/>
        <v>0</v>
      </c>
      <c r="H257" s="176"/>
      <c r="I257" s="244"/>
      <c r="J257" s="244"/>
      <c r="K257" s="244"/>
      <c r="L257" s="244"/>
      <c r="M257" s="244"/>
    </row>
    <row r="258" spans="1:13" ht="15" customHeight="1" x14ac:dyDescent="0.45">
      <c r="A258" s="879"/>
      <c r="B258" s="241"/>
      <c r="C258" s="241"/>
      <c r="D258" s="808"/>
      <c r="E258" s="813"/>
      <c r="F258" s="243"/>
      <c r="G258" s="363">
        <f t="shared" si="15"/>
        <v>0</v>
      </c>
      <c r="H258" s="176"/>
      <c r="I258" s="244"/>
      <c r="J258" s="244"/>
      <c r="K258" s="244"/>
      <c r="L258" s="244"/>
      <c r="M258" s="244"/>
    </row>
    <row r="259" spans="1:13" ht="15" customHeight="1" x14ac:dyDescent="0.35">
      <c r="A259" s="879"/>
      <c r="B259" s="236"/>
      <c r="C259" s="237"/>
      <c r="D259" s="237"/>
      <c r="E259" s="237"/>
      <c r="F259" s="243"/>
      <c r="G259" s="190"/>
      <c r="H259" s="176"/>
      <c r="I259" s="239"/>
      <c r="J259" s="239"/>
      <c r="K259" s="239"/>
      <c r="L259" s="239"/>
      <c r="M259" s="239"/>
    </row>
    <row r="260" spans="1:13" ht="15" customHeight="1" x14ac:dyDescent="0.45">
      <c r="A260" s="879"/>
      <c r="B260" s="241"/>
      <c r="C260" s="1000" t="s">
        <v>455</v>
      </c>
      <c r="D260" s="1000"/>
      <c r="E260" s="1000"/>
      <c r="F260" s="243"/>
      <c r="G260" s="361">
        <f t="shared" ref="G260:G270" si="16">SUM(I260:BG260)</f>
        <v>0</v>
      </c>
      <c r="H260" s="176"/>
      <c r="I260" s="244"/>
      <c r="J260" s="244"/>
      <c r="K260" s="244"/>
      <c r="L260" s="244"/>
      <c r="M260" s="244"/>
    </row>
    <row r="261" spans="1:13" ht="15" customHeight="1" x14ac:dyDescent="0.35">
      <c r="A261" s="879"/>
      <c r="B261" s="241"/>
      <c r="C261" s="241"/>
      <c r="D261" s="1001" t="str">
        <f>D249</f>
        <v>أقل من 3 أشهر</v>
      </c>
      <c r="E261" s="1002"/>
      <c r="F261" s="243"/>
      <c r="G261" s="362">
        <f t="shared" si="16"/>
        <v>0</v>
      </c>
      <c r="H261" s="176"/>
      <c r="I261" s="245"/>
      <c r="J261" s="245"/>
      <c r="K261" s="245"/>
      <c r="L261" s="245"/>
      <c r="M261" s="245"/>
    </row>
    <row r="262" spans="1:13" ht="15" customHeight="1" x14ac:dyDescent="0.35">
      <c r="A262" s="879"/>
      <c r="B262" s="241"/>
      <c r="C262" s="241"/>
      <c r="D262" s="1003" t="str">
        <f>D250</f>
        <v>من 3 أشهر إلى 12 شهرًا</v>
      </c>
      <c r="E262" s="1004"/>
      <c r="F262" s="243"/>
      <c r="G262" s="362">
        <f t="shared" si="16"/>
        <v>0</v>
      </c>
      <c r="H262" s="176"/>
      <c r="I262" s="245"/>
      <c r="J262" s="245"/>
      <c r="K262" s="245"/>
      <c r="L262" s="245"/>
      <c r="M262" s="245"/>
    </row>
    <row r="263" spans="1:13" ht="15" customHeight="1" x14ac:dyDescent="0.45">
      <c r="A263" s="879"/>
      <c r="B263" s="241"/>
      <c r="C263" s="241"/>
      <c r="D263" s="1003" t="str">
        <f>D251</f>
        <v>من سنة إلى 5 سنوات</v>
      </c>
      <c r="E263" s="1004"/>
      <c r="F263" s="243"/>
      <c r="G263" s="362">
        <f t="shared" si="16"/>
        <v>0</v>
      </c>
      <c r="H263" s="176"/>
      <c r="I263" s="244"/>
      <c r="J263" s="244"/>
      <c r="K263" s="244"/>
      <c r="L263" s="244"/>
      <c r="M263" s="244"/>
    </row>
    <row r="264" spans="1:13" ht="15" customHeight="1" x14ac:dyDescent="0.45">
      <c r="A264" s="879"/>
      <c r="B264" s="241"/>
      <c r="C264" s="241"/>
      <c r="D264" s="1003" t="str">
        <f>D252</f>
        <v>أكثر من 5 سنوات</v>
      </c>
      <c r="E264" s="1004"/>
      <c r="F264" s="243"/>
      <c r="G264" s="362">
        <f t="shared" si="16"/>
        <v>0</v>
      </c>
      <c r="H264" s="176"/>
      <c r="I264" s="244"/>
      <c r="J264" s="244"/>
      <c r="K264" s="244"/>
      <c r="L264" s="244"/>
      <c r="M264" s="244"/>
    </row>
    <row r="265" spans="1:13" ht="15" customHeight="1" x14ac:dyDescent="0.45">
      <c r="A265" s="879"/>
      <c r="B265" s="241"/>
      <c r="C265" s="241"/>
      <c r="D265" s="807"/>
      <c r="E265" s="812"/>
      <c r="F265" s="243"/>
      <c r="G265" s="362">
        <f t="shared" si="16"/>
        <v>0</v>
      </c>
      <c r="H265" s="176"/>
      <c r="I265" s="244"/>
      <c r="J265" s="244"/>
      <c r="K265" s="244"/>
      <c r="L265" s="244"/>
      <c r="M265" s="244"/>
    </row>
    <row r="266" spans="1:13" ht="15" customHeight="1" x14ac:dyDescent="0.45">
      <c r="A266" s="879"/>
      <c r="B266" s="241"/>
      <c r="C266" s="241"/>
      <c r="D266" s="807"/>
      <c r="E266" s="812"/>
      <c r="F266" s="243"/>
      <c r="G266" s="362">
        <f t="shared" si="16"/>
        <v>0</v>
      </c>
      <c r="H266" s="176"/>
      <c r="I266" s="244"/>
      <c r="J266" s="244"/>
      <c r="K266" s="244"/>
      <c r="L266" s="244"/>
      <c r="M266" s="244"/>
    </row>
    <row r="267" spans="1:13" ht="15" customHeight="1" x14ac:dyDescent="0.45">
      <c r="A267" s="879"/>
      <c r="B267" s="241"/>
      <c r="C267" s="241"/>
      <c r="D267" s="807"/>
      <c r="E267" s="812"/>
      <c r="F267" s="243"/>
      <c r="G267" s="362">
        <f t="shared" si="16"/>
        <v>0</v>
      </c>
      <c r="H267" s="176"/>
      <c r="I267" s="244"/>
      <c r="J267" s="244"/>
      <c r="K267" s="244"/>
      <c r="L267" s="244"/>
      <c r="M267" s="244"/>
    </row>
    <row r="268" spans="1:13" ht="15" customHeight="1" x14ac:dyDescent="0.45">
      <c r="A268" s="879"/>
      <c r="B268" s="241"/>
      <c r="C268" s="241"/>
      <c r="D268" s="807"/>
      <c r="E268" s="812"/>
      <c r="F268" s="243"/>
      <c r="G268" s="362">
        <f t="shared" si="16"/>
        <v>0</v>
      </c>
      <c r="H268" s="176"/>
      <c r="I268" s="244"/>
      <c r="J268" s="244"/>
      <c r="K268" s="244"/>
      <c r="L268" s="244"/>
      <c r="M268" s="244"/>
    </row>
    <row r="269" spans="1:13" ht="15" customHeight="1" x14ac:dyDescent="0.45">
      <c r="A269" s="879"/>
      <c r="B269" s="241"/>
      <c r="C269" s="241"/>
      <c r="D269" s="807"/>
      <c r="E269" s="812"/>
      <c r="F269" s="243"/>
      <c r="G269" s="362">
        <f t="shared" si="16"/>
        <v>0</v>
      </c>
      <c r="H269" s="176"/>
      <c r="I269" s="244"/>
      <c r="J269" s="244"/>
      <c r="K269" s="244"/>
      <c r="L269" s="244"/>
      <c r="M269" s="244"/>
    </row>
    <row r="270" spans="1:13" ht="15" customHeight="1" x14ac:dyDescent="0.45">
      <c r="A270" s="879"/>
      <c r="B270" s="241"/>
      <c r="C270" s="241"/>
      <c r="D270" s="808"/>
      <c r="E270" s="813"/>
      <c r="F270" s="243"/>
      <c r="G270" s="363">
        <f t="shared" si="16"/>
        <v>0</v>
      </c>
      <c r="H270" s="176"/>
      <c r="I270" s="244"/>
      <c r="J270" s="244"/>
      <c r="K270" s="244"/>
      <c r="L270" s="244"/>
      <c r="M270" s="244"/>
    </row>
    <row r="271" spans="1:13" ht="15" customHeight="1" x14ac:dyDescent="0.35">
      <c r="A271" s="879"/>
      <c r="B271" s="236"/>
      <c r="C271" s="237"/>
      <c r="D271" s="237"/>
      <c r="E271" s="237"/>
      <c r="F271" s="243"/>
      <c r="G271" s="190"/>
      <c r="H271" s="176"/>
      <c r="I271" s="239"/>
      <c r="J271" s="239"/>
      <c r="K271" s="239"/>
      <c r="L271" s="239"/>
      <c r="M271" s="239"/>
    </row>
    <row r="272" spans="1:13" ht="15" customHeight="1" x14ac:dyDescent="0.35">
      <c r="A272" s="879"/>
      <c r="B272" s="989" t="s">
        <v>15</v>
      </c>
      <c r="C272" s="990"/>
      <c r="D272" s="990"/>
      <c r="E272" s="1005"/>
      <c r="F272" s="243"/>
      <c r="G272" s="190"/>
      <c r="H272" s="176"/>
      <c r="I272" s="239"/>
      <c r="J272" s="239"/>
      <c r="K272" s="239"/>
      <c r="L272" s="239"/>
      <c r="M272" s="239"/>
    </row>
    <row r="273" spans="1:13" ht="15" customHeight="1" x14ac:dyDescent="0.35">
      <c r="A273" s="879"/>
      <c r="B273" s="241"/>
      <c r="C273" s="1010" t="s">
        <v>133</v>
      </c>
      <c r="D273" s="1010"/>
      <c r="E273" s="1010"/>
      <c r="F273" s="243"/>
      <c r="G273" s="361">
        <f t="shared" ref="G273:G283" si="17">SUM(I273:BG273)</f>
        <v>4458183</v>
      </c>
      <c r="H273" s="176"/>
      <c r="I273" s="814">
        <f>SUM(I274:I277)</f>
        <v>1306177</v>
      </c>
      <c r="J273" s="815">
        <f>SUM(J274:J277)</f>
        <v>717990</v>
      </c>
      <c r="K273" s="815">
        <f>SUM(K274:K277)</f>
        <v>323613</v>
      </c>
      <c r="L273" s="815">
        <f>SUM(L274:L277)</f>
        <v>974081</v>
      </c>
      <c r="M273" s="816">
        <f>SUM(M274:M277)</f>
        <v>1136322</v>
      </c>
    </row>
    <row r="274" spans="1:13" ht="15" customHeight="1" x14ac:dyDescent="0.35">
      <c r="A274" s="879"/>
      <c r="B274" s="241"/>
      <c r="C274" s="241"/>
      <c r="D274" s="1001" t="s">
        <v>1</v>
      </c>
      <c r="E274" s="1002"/>
      <c r="F274" s="243"/>
      <c r="G274" s="362">
        <f t="shared" si="17"/>
        <v>1736869</v>
      </c>
      <c r="H274" s="176"/>
      <c r="I274" s="817">
        <v>576297</v>
      </c>
      <c r="J274" s="358">
        <v>316783</v>
      </c>
      <c r="K274" s="358">
        <v>142781</v>
      </c>
      <c r="L274" s="358">
        <v>199653</v>
      </c>
      <c r="M274" s="818">
        <v>501355</v>
      </c>
    </row>
    <row r="275" spans="1:13" ht="15" customHeight="1" x14ac:dyDescent="0.35">
      <c r="A275" s="879"/>
      <c r="B275" s="241"/>
      <c r="C275" s="241"/>
      <c r="D275" s="1003" t="s">
        <v>7</v>
      </c>
      <c r="E275" s="1004"/>
      <c r="F275" s="243"/>
      <c r="G275" s="362">
        <f t="shared" si="17"/>
        <v>756041</v>
      </c>
      <c r="H275" s="176"/>
      <c r="I275" s="817">
        <v>108840</v>
      </c>
      <c r="J275" s="358">
        <v>59828</v>
      </c>
      <c r="K275" s="358">
        <v>26966</v>
      </c>
      <c r="L275" s="358">
        <v>465720</v>
      </c>
      <c r="M275" s="818">
        <v>94687</v>
      </c>
    </row>
    <row r="276" spans="1:13" ht="15" customHeight="1" x14ac:dyDescent="0.35">
      <c r="A276" s="879"/>
      <c r="B276" s="241"/>
      <c r="C276" s="241"/>
      <c r="D276" s="1003" t="str">
        <f>+D215</f>
        <v>من سنة إلى 5 سنوات</v>
      </c>
      <c r="E276" s="1004"/>
      <c r="F276" s="243"/>
      <c r="G276" s="362">
        <f t="shared" si="17"/>
        <v>1197344</v>
      </c>
      <c r="H276" s="176"/>
      <c r="I276" s="817">
        <v>371669</v>
      </c>
      <c r="J276" s="358">
        <v>204302</v>
      </c>
      <c r="K276" s="358">
        <v>92083</v>
      </c>
      <c r="L276" s="358">
        <v>205953</v>
      </c>
      <c r="M276" s="818">
        <v>323337</v>
      </c>
    </row>
    <row r="277" spans="1:13" ht="15" customHeight="1" x14ac:dyDescent="0.35">
      <c r="A277" s="879"/>
      <c r="B277" s="241"/>
      <c r="C277" s="241"/>
      <c r="D277" s="1003" t="s">
        <v>4</v>
      </c>
      <c r="E277" s="1004"/>
      <c r="F277" s="243"/>
      <c r="G277" s="362">
        <f t="shared" si="17"/>
        <v>767929</v>
      </c>
      <c r="H277" s="176"/>
      <c r="I277" s="817">
        <v>249371</v>
      </c>
      <c r="J277" s="358">
        <v>137077</v>
      </c>
      <c r="K277" s="358">
        <v>61783</v>
      </c>
      <c r="L277" s="358">
        <v>102755</v>
      </c>
      <c r="M277" s="818">
        <v>216943</v>
      </c>
    </row>
    <row r="278" spans="1:13" ht="15" customHeight="1" x14ac:dyDescent="0.35">
      <c r="A278" s="879"/>
      <c r="B278" s="241"/>
      <c r="C278" s="241"/>
      <c r="D278" s="807"/>
      <c r="E278" s="812"/>
      <c r="F278" s="243"/>
      <c r="G278" s="362">
        <f t="shared" si="17"/>
        <v>0</v>
      </c>
      <c r="H278" s="176"/>
      <c r="I278" s="817"/>
      <c r="J278" s="358"/>
      <c r="K278" s="358"/>
      <c r="L278" s="358"/>
      <c r="M278" s="818"/>
    </row>
    <row r="279" spans="1:13" ht="15" customHeight="1" x14ac:dyDescent="0.35">
      <c r="A279" s="879"/>
      <c r="B279" s="241"/>
      <c r="C279" s="241"/>
      <c r="D279" s="807"/>
      <c r="E279" s="812"/>
      <c r="F279" s="243"/>
      <c r="G279" s="362">
        <f t="shared" si="17"/>
        <v>0</v>
      </c>
      <c r="H279" s="176"/>
      <c r="I279" s="817"/>
      <c r="J279" s="358"/>
      <c r="K279" s="358"/>
      <c r="L279" s="358"/>
      <c r="M279" s="818"/>
    </row>
    <row r="280" spans="1:13" ht="15" customHeight="1" x14ac:dyDescent="0.35">
      <c r="A280" s="879"/>
      <c r="B280" s="241"/>
      <c r="C280" s="241"/>
      <c r="D280" s="807"/>
      <c r="E280" s="812"/>
      <c r="F280" s="243"/>
      <c r="G280" s="362">
        <f t="shared" si="17"/>
        <v>0</v>
      </c>
      <c r="H280" s="176"/>
      <c r="I280" s="817"/>
      <c r="J280" s="358"/>
      <c r="K280" s="358"/>
      <c r="L280" s="358"/>
      <c r="M280" s="818"/>
    </row>
    <row r="281" spans="1:13" ht="15" customHeight="1" x14ac:dyDescent="0.35">
      <c r="A281" s="879"/>
      <c r="B281" s="241"/>
      <c r="C281" s="241"/>
      <c r="D281" s="807"/>
      <c r="E281" s="812"/>
      <c r="F281" s="243"/>
      <c r="G281" s="362">
        <f t="shared" si="17"/>
        <v>0</v>
      </c>
      <c r="H281" s="176"/>
      <c r="I281" s="817"/>
      <c r="J281" s="358"/>
      <c r="K281" s="358"/>
      <c r="L281" s="358"/>
      <c r="M281" s="818"/>
    </row>
    <row r="282" spans="1:13" ht="15" customHeight="1" x14ac:dyDescent="0.35">
      <c r="A282" s="879"/>
      <c r="B282" s="241"/>
      <c r="C282" s="241"/>
      <c r="D282" s="807"/>
      <c r="E282" s="812"/>
      <c r="F282" s="243"/>
      <c r="G282" s="362">
        <f t="shared" si="17"/>
        <v>0</v>
      </c>
      <c r="H282" s="176"/>
      <c r="I282" s="817"/>
      <c r="J282" s="358"/>
      <c r="K282" s="358"/>
      <c r="L282" s="358"/>
      <c r="M282" s="818"/>
    </row>
    <row r="283" spans="1:13" ht="15" customHeight="1" x14ac:dyDescent="0.35">
      <c r="A283" s="879"/>
      <c r="B283" s="241"/>
      <c r="C283" s="241"/>
      <c r="D283" s="808"/>
      <c r="E283" s="813"/>
      <c r="F283" s="243"/>
      <c r="G283" s="363">
        <f t="shared" si="17"/>
        <v>0</v>
      </c>
      <c r="H283" s="176"/>
      <c r="I283" s="819"/>
      <c r="J283" s="820"/>
      <c r="K283" s="820"/>
      <c r="L283" s="820"/>
      <c r="M283" s="821"/>
    </row>
    <row r="284" spans="1:13" ht="15" customHeight="1" x14ac:dyDescent="0.35">
      <c r="A284" s="879"/>
      <c r="B284" s="241"/>
      <c r="C284" s="241"/>
      <c r="D284" s="241"/>
      <c r="E284" s="241"/>
      <c r="F284" s="243"/>
      <c r="G284" s="302"/>
      <c r="H284" s="176"/>
      <c r="I284" s="360"/>
      <c r="J284" s="360"/>
      <c r="K284" s="360"/>
      <c r="L284" s="360"/>
      <c r="M284" s="360"/>
    </row>
    <row r="285" spans="1:13" ht="15" customHeight="1" x14ac:dyDescent="0.35">
      <c r="A285" s="879"/>
      <c r="B285" s="241"/>
      <c r="C285" s="1000" t="s">
        <v>134</v>
      </c>
      <c r="D285" s="1000"/>
      <c r="E285" s="1000"/>
      <c r="F285" s="243"/>
      <c r="G285" s="361">
        <f t="shared" ref="G285:G295" si="18">SUM(I285:BG285)</f>
        <v>55853645</v>
      </c>
      <c r="H285" s="176"/>
      <c r="I285" s="814">
        <f>SUM(I286:I289)</f>
        <v>11827409</v>
      </c>
      <c r="J285" s="815">
        <f>SUM(J286:J289)</f>
        <v>10439524</v>
      </c>
      <c r="K285" s="815">
        <f>SUM(K286:K289)</f>
        <v>12992519</v>
      </c>
      <c r="L285" s="815">
        <f>SUM(L286:L289)</f>
        <v>11499063</v>
      </c>
      <c r="M285" s="816">
        <f>SUM(M286:M289)</f>
        <v>9095130</v>
      </c>
    </row>
    <row r="286" spans="1:13" ht="15" customHeight="1" x14ac:dyDescent="0.35">
      <c r="A286" s="879"/>
      <c r="B286" s="241"/>
      <c r="C286" s="241"/>
      <c r="D286" s="1001" t="str">
        <f>D225</f>
        <v>أقل من 3 أشهر</v>
      </c>
      <c r="E286" s="1002"/>
      <c r="F286" s="243"/>
      <c r="G286" s="362">
        <f t="shared" si="18"/>
        <v>9305543</v>
      </c>
      <c r="H286" s="176"/>
      <c r="I286" s="817">
        <v>1732175</v>
      </c>
      <c r="J286" s="358">
        <v>1757268</v>
      </c>
      <c r="K286" s="358">
        <v>2187009</v>
      </c>
      <c r="L286" s="358">
        <v>2098123</v>
      </c>
      <c r="M286" s="818">
        <v>1530968</v>
      </c>
    </row>
    <row r="287" spans="1:13" ht="15" customHeight="1" x14ac:dyDescent="0.35">
      <c r="A287" s="879"/>
      <c r="B287" s="241"/>
      <c r="C287" s="241"/>
      <c r="D287" s="1003" t="str">
        <f>D226</f>
        <v>من 3 أشهر إلى 12 شهرًا</v>
      </c>
      <c r="E287" s="1004"/>
      <c r="F287" s="243"/>
      <c r="G287" s="362">
        <f t="shared" si="18"/>
        <v>13892386</v>
      </c>
      <c r="H287" s="176"/>
      <c r="I287" s="817">
        <v>4993023</v>
      </c>
      <c r="J287" s="358">
        <v>2053856</v>
      </c>
      <c r="K287" s="358">
        <v>2556128</v>
      </c>
      <c r="L287" s="358">
        <v>2500017</v>
      </c>
      <c r="M287" s="818">
        <v>1789362</v>
      </c>
    </row>
    <row r="288" spans="1:13" ht="15" customHeight="1" x14ac:dyDescent="0.35">
      <c r="A288" s="879"/>
      <c r="B288" s="241"/>
      <c r="C288" s="241"/>
      <c r="D288" s="1003" t="str">
        <f>D227</f>
        <v>من سنة إلى 5 سنوات</v>
      </c>
      <c r="E288" s="1004"/>
      <c r="F288" s="243"/>
      <c r="G288" s="362">
        <f t="shared" si="18"/>
        <v>15943663</v>
      </c>
      <c r="H288" s="176"/>
      <c r="I288" s="817">
        <v>2941451</v>
      </c>
      <c r="J288" s="358">
        <v>2985685</v>
      </c>
      <c r="K288" s="358">
        <v>3715837</v>
      </c>
      <c r="L288" s="358">
        <v>3699499</v>
      </c>
      <c r="M288" s="818">
        <v>2601191</v>
      </c>
    </row>
    <row r="289" spans="1:13" ht="15" customHeight="1" x14ac:dyDescent="0.35">
      <c r="A289" s="879"/>
      <c r="B289" s="241"/>
      <c r="C289" s="241"/>
      <c r="D289" s="1003" t="str">
        <f>D228</f>
        <v>أكثر من 5 سنوات</v>
      </c>
      <c r="E289" s="1004"/>
      <c r="F289" s="243"/>
      <c r="G289" s="362">
        <f t="shared" si="18"/>
        <v>16712053</v>
      </c>
      <c r="H289" s="176"/>
      <c r="I289" s="817">
        <v>2160760</v>
      </c>
      <c r="J289" s="358">
        <v>3642715</v>
      </c>
      <c r="K289" s="358">
        <v>4533545</v>
      </c>
      <c r="L289" s="358">
        <v>3201424</v>
      </c>
      <c r="M289" s="818">
        <v>3173609</v>
      </c>
    </row>
    <row r="290" spans="1:13" ht="15" customHeight="1" x14ac:dyDescent="0.35">
      <c r="A290" s="879"/>
      <c r="B290" s="241"/>
      <c r="C290" s="241"/>
      <c r="D290" s="807"/>
      <c r="E290" s="812"/>
      <c r="F290" s="243"/>
      <c r="G290" s="362">
        <f t="shared" si="18"/>
        <v>0</v>
      </c>
      <c r="H290" s="176"/>
      <c r="I290" s="817"/>
      <c r="J290" s="358"/>
      <c r="K290" s="358"/>
      <c r="L290" s="358"/>
      <c r="M290" s="818"/>
    </row>
    <row r="291" spans="1:13" ht="15" customHeight="1" x14ac:dyDescent="0.35">
      <c r="A291" s="879"/>
      <c r="B291" s="241"/>
      <c r="C291" s="241"/>
      <c r="D291" s="807"/>
      <c r="E291" s="812"/>
      <c r="F291" s="243"/>
      <c r="G291" s="362">
        <f t="shared" si="18"/>
        <v>0</v>
      </c>
      <c r="H291" s="176"/>
      <c r="I291" s="817"/>
      <c r="J291" s="358"/>
      <c r="K291" s="358"/>
      <c r="L291" s="358"/>
      <c r="M291" s="818"/>
    </row>
    <row r="292" spans="1:13" ht="15" customHeight="1" x14ac:dyDescent="0.35">
      <c r="A292" s="879"/>
      <c r="B292" s="241"/>
      <c r="C292" s="241"/>
      <c r="D292" s="807"/>
      <c r="E292" s="812"/>
      <c r="F292" s="243"/>
      <c r="G292" s="362">
        <f t="shared" si="18"/>
        <v>0</v>
      </c>
      <c r="H292" s="176"/>
      <c r="I292" s="817"/>
      <c r="J292" s="358"/>
      <c r="K292" s="358"/>
      <c r="L292" s="358"/>
      <c r="M292" s="818"/>
    </row>
    <row r="293" spans="1:13" ht="15" customHeight="1" x14ac:dyDescent="0.45">
      <c r="A293" s="879"/>
      <c r="B293" s="241"/>
      <c r="C293" s="241"/>
      <c r="D293" s="807"/>
      <c r="E293" s="812"/>
      <c r="F293" s="243"/>
      <c r="G293" s="362">
        <f t="shared" si="18"/>
        <v>0</v>
      </c>
      <c r="H293" s="176"/>
      <c r="I293" s="822"/>
      <c r="J293" s="244"/>
      <c r="K293" s="244"/>
      <c r="L293" s="244"/>
      <c r="M293" s="823"/>
    </row>
    <row r="294" spans="1:13" ht="15" customHeight="1" x14ac:dyDescent="0.45">
      <c r="A294" s="879"/>
      <c r="B294" s="241"/>
      <c r="C294" s="241"/>
      <c r="D294" s="807"/>
      <c r="E294" s="812"/>
      <c r="F294" s="243"/>
      <c r="G294" s="362">
        <f t="shared" si="18"/>
        <v>0</v>
      </c>
      <c r="H294" s="176"/>
      <c r="I294" s="822"/>
      <c r="J294" s="244"/>
      <c r="K294" s="244"/>
      <c r="L294" s="244"/>
      <c r="M294" s="823"/>
    </row>
    <row r="295" spans="1:13" ht="15" customHeight="1" x14ac:dyDescent="0.45">
      <c r="A295" s="879"/>
      <c r="B295" s="241"/>
      <c r="C295" s="241"/>
      <c r="D295" s="808"/>
      <c r="E295" s="813"/>
      <c r="F295" s="243"/>
      <c r="G295" s="363">
        <f t="shared" si="18"/>
        <v>0</v>
      </c>
      <c r="H295" s="176"/>
      <c r="I295" s="824"/>
      <c r="J295" s="825"/>
      <c r="K295" s="825"/>
      <c r="L295" s="825"/>
      <c r="M295" s="826"/>
    </row>
    <row r="296" spans="1:13" ht="15" customHeight="1" x14ac:dyDescent="0.45">
      <c r="A296" s="879"/>
      <c r="B296" s="241"/>
      <c r="C296" s="241"/>
      <c r="D296" s="241"/>
      <c r="E296" s="241"/>
      <c r="F296" s="243"/>
      <c r="G296" s="302"/>
      <c r="H296" s="176"/>
      <c r="I296" s="242"/>
      <c r="J296" s="242"/>
      <c r="K296" s="242"/>
      <c r="L296" s="242"/>
      <c r="M296" s="242"/>
    </row>
    <row r="297" spans="1:13" ht="15" customHeight="1" x14ac:dyDescent="0.45">
      <c r="A297" s="879"/>
      <c r="B297" s="241"/>
      <c r="C297" s="1000" t="s">
        <v>65</v>
      </c>
      <c r="D297" s="1000"/>
      <c r="E297" s="1000"/>
      <c r="F297" s="243"/>
      <c r="G297" s="361">
        <f t="shared" ref="G297:G307" si="19">SUM(I297:BG297)</f>
        <v>0</v>
      </c>
      <c r="H297" s="176"/>
      <c r="I297" s="244"/>
      <c r="J297" s="244"/>
      <c r="K297" s="244"/>
      <c r="L297" s="244"/>
      <c r="M297" s="244"/>
    </row>
    <row r="298" spans="1:13" ht="15" customHeight="1" x14ac:dyDescent="0.35">
      <c r="A298" s="879"/>
      <c r="B298" s="241"/>
      <c r="C298" s="241"/>
      <c r="D298" s="1001" t="str">
        <f t="shared" ref="D298:D307" si="20">D237</f>
        <v>أقل من 3 أشهر</v>
      </c>
      <c r="E298" s="1002"/>
      <c r="F298" s="243"/>
      <c r="G298" s="362">
        <f t="shared" si="19"/>
        <v>0</v>
      </c>
      <c r="H298" s="176"/>
      <c r="I298" s="247"/>
      <c r="J298" s="247"/>
      <c r="K298" s="247"/>
      <c r="L298" s="247"/>
      <c r="M298" s="247"/>
    </row>
    <row r="299" spans="1:13" ht="15" customHeight="1" x14ac:dyDescent="0.35">
      <c r="A299" s="879"/>
      <c r="B299" s="241"/>
      <c r="C299" s="241"/>
      <c r="D299" s="1003" t="str">
        <f t="shared" si="20"/>
        <v>من 3 أشهر إلى 12 شهرًا</v>
      </c>
      <c r="E299" s="1004"/>
      <c r="F299" s="243"/>
      <c r="G299" s="362">
        <f t="shared" si="19"/>
        <v>0</v>
      </c>
      <c r="H299" s="176"/>
      <c r="I299" s="247"/>
      <c r="J299" s="247"/>
      <c r="K299" s="247"/>
      <c r="L299" s="247"/>
      <c r="M299" s="247"/>
    </row>
    <row r="300" spans="1:13" ht="15" customHeight="1" x14ac:dyDescent="0.35">
      <c r="A300" s="879"/>
      <c r="B300" s="241"/>
      <c r="C300" s="241"/>
      <c r="D300" s="1003" t="str">
        <f t="shared" si="20"/>
        <v>من سنة إلى 5 سنوات</v>
      </c>
      <c r="E300" s="1004"/>
      <c r="F300" s="243"/>
      <c r="G300" s="362">
        <f t="shared" si="19"/>
        <v>0</v>
      </c>
      <c r="H300" s="176"/>
      <c r="I300" s="247"/>
      <c r="J300" s="247"/>
      <c r="K300" s="247"/>
      <c r="L300" s="247"/>
      <c r="M300" s="247"/>
    </row>
    <row r="301" spans="1:13" ht="15" customHeight="1" x14ac:dyDescent="0.35">
      <c r="A301" s="879"/>
      <c r="B301" s="241"/>
      <c r="C301" s="241"/>
      <c r="D301" s="1003" t="str">
        <f t="shared" si="20"/>
        <v>أكثر من 5 سنوات</v>
      </c>
      <c r="E301" s="1004"/>
      <c r="F301" s="243"/>
      <c r="G301" s="362">
        <f t="shared" si="19"/>
        <v>0</v>
      </c>
      <c r="H301" s="176"/>
      <c r="I301" s="247"/>
      <c r="J301" s="247"/>
      <c r="K301" s="247"/>
      <c r="L301" s="247"/>
      <c r="M301" s="247"/>
    </row>
    <row r="302" spans="1:13" ht="15" customHeight="1" x14ac:dyDescent="0.35">
      <c r="A302" s="879"/>
      <c r="B302" s="241"/>
      <c r="C302" s="241"/>
      <c r="D302" s="807">
        <f t="shared" si="20"/>
        <v>0</v>
      </c>
      <c r="E302" s="812"/>
      <c r="F302" s="243"/>
      <c r="G302" s="362">
        <f t="shared" si="19"/>
        <v>0</v>
      </c>
      <c r="H302" s="176"/>
      <c r="I302" s="247"/>
      <c r="J302" s="247"/>
      <c r="K302" s="247"/>
      <c r="L302" s="247"/>
      <c r="M302" s="247"/>
    </row>
    <row r="303" spans="1:13" ht="15" customHeight="1" x14ac:dyDescent="0.35">
      <c r="A303" s="879"/>
      <c r="B303" s="241"/>
      <c r="C303" s="241"/>
      <c r="D303" s="807">
        <f t="shared" si="20"/>
        <v>0</v>
      </c>
      <c r="E303" s="812"/>
      <c r="F303" s="243"/>
      <c r="G303" s="362">
        <f t="shared" si="19"/>
        <v>0</v>
      </c>
      <c r="H303" s="176"/>
      <c r="I303" s="247"/>
      <c r="J303" s="247"/>
      <c r="K303" s="247"/>
      <c r="L303" s="247"/>
      <c r="M303" s="247"/>
    </row>
    <row r="304" spans="1:13" ht="15" customHeight="1" x14ac:dyDescent="0.35">
      <c r="A304" s="879"/>
      <c r="B304" s="241"/>
      <c r="C304" s="241"/>
      <c r="D304" s="807">
        <f t="shared" si="20"/>
        <v>0</v>
      </c>
      <c r="E304" s="812"/>
      <c r="F304" s="243"/>
      <c r="G304" s="362">
        <f t="shared" si="19"/>
        <v>0</v>
      </c>
      <c r="H304" s="176"/>
      <c r="I304" s="247"/>
      <c r="J304" s="247"/>
      <c r="K304" s="247"/>
      <c r="L304" s="247"/>
      <c r="M304" s="247"/>
    </row>
    <row r="305" spans="1:13" ht="15" customHeight="1" x14ac:dyDescent="0.35">
      <c r="A305" s="879"/>
      <c r="B305" s="241"/>
      <c r="C305" s="241"/>
      <c r="D305" s="807">
        <f t="shared" si="20"/>
        <v>0</v>
      </c>
      <c r="E305" s="812"/>
      <c r="F305" s="243"/>
      <c r="G305" s="362">
        <f t="shared" si="19"/>
        <v>0</v>
      </c>
      <c r="H305" s="176"/>
      <c r="I305" s="247"/>
      <c r="J305" s="247"/>
      <c r="K305" s="247"/>
      <c r="L305" s="247"/>
      <c r="M305" s="247"/>
    </row>
    <row r="306" spans="1:13" ht="15" customHeight="1" x14ac:dyDescent="0.35">
      <c r="A306" s="879"/>
      <c r="B306" s="241"/>
      <c r="C306" s="241"/>
      <c r="D306" s="807">
        <f t="shared" si="20"/>
        <v>0</v>
      </c>
      <c r="E306" s="812"/>
      <c r="F306" s="243"/>
      <c r="G306" s="362">
        <f t="shared" si="19"/>
        <v>0</v>
      </c>
      <c r="H306" s="176"/>
      <c r="I306" s="247"/>
      <c r="J306" s="247"/>
      <c r="K306" s="247"/>
      <c r="L306" s="247"/>
      <c r="M306" s="247"/>
    </row>
    <row r="307" spans="1:13" ht="15" customHeight="1" x14ac:dyDescent="0.35">
      <c r="A307" s="879"/>
      <c r="B307" s="241"/>
      <c r="C307" s="241"/>
      <c r="D307" s="808">
        <f t="shared" si="20"/>
        <v>0</v>
      </c>
      <c r="E307" s="813"/>
      <c r="F307" s="243"/>
      <c r="G307" s="363">
        <f t="shared" si="19"/>
        <v>0</v>
      </c>
      <c r="H307" s="176"/>
      <c r="I307" s="247"/>
      <c r="J307" s="247"/>
      <c r="K307" s="247"/>
      <c r="L307" s="247"/>
      <c r="M307" s="247"/>
    </row>
    <row r="308" spans="1:13" ht="15" customHeight="1" x14ac:dyDescent="0.45">
      <c r="A308" s="879"/>
      <c r="B308" s="241"/>
      <c r="C308" s="241"/>
      <c r="D308" s="241"/>
      <c r="E308" s="241"/>
      <c r="F308" s="243"/>
      <c r="G308" s="302"/>
      <c r="H308" s="176"/>
      <c r="I308" s="242"/>
      <c r="J308" s="242"/>
      <c r="K308" s="242"/>
      <c r="L308" s="242"/>
      <c r="M308" s="242"/>
    </row>
    <row r="309" spans="1:13" ht="15" customHeight="1" x14ac:dyDescent="0.45">
      <c r="A309" s="879"/>
      <c r="B309" s="241"/>
      <c r="C309" s="1000" t="s">
        <v>456</v>
      </c>
      <c r="D309" s="1000"/>
      <c r="E309" s="1000"/>
      <c r="F309" s="243"/>
      <c r="G309" s="361">
        <f>SUM(I309:BG309)</f>
        <v>0</v>
      </c>
      <c r="H309" s="176"/>
      <c r="I309" s="244"/>
      <c r="J309" s="244"/>
      <c r="K309" s="244"/>
      <c r="L309" s="244"/>
      <c r="M309" s="244"/>
    </row>
    <row r="310" spans="1:13" ht="15" customHeight="1" x14ac:dyDescent="0.35">
      <c r="A310" s="879"/>
      <c r="B310" s="241"/>
      <c r="C310" s="241"/>
      <c r="D310" s="1001" t="str">
        <f>D274</f>
        <v>أقل من 3 أشهر</v>
      </c>
      <c r="E310" s="1002"/>
      <c r="F310" s="243"/>
      <c r="G310" s="362">
        <f>SUM(I310:BG310)</f>
        <v>0</v>
      </c>
      <c r="H310" s="176"/>
      <c r="I310" s="247"/>
      <c r="J310" s="247"/>
      <c r="K310" s="247"/>
      <c r="L310" s="247"/>
      <c r="M310" s="247"/>
    </row>
    <row r="311" spans="1:13" ht="15" customHeight="1" x14ac:dyDescent="0.35">
      <c r="A311" s="879"/>
      <c r="B311" s="241"/>
      <c r="C311" s="241"/>
      <c r="D311" s="1003" t="str">
        <f>D275</f>
        <v>من 3 أشهر إلى 12 شهرًا</v>
      </c>
      <c r="E311" s="1004"/>
      <c r="F311" s="243"/>
      <c r="G311" s="362">
        <f>SUM(I311:BG311)</f>
        <v>0</v>
      </c>
      <c r="H311" s="176"/>
      <c r="I311" s="247"/>
      <c r="J311" s="247"/>
      <c r="K311" s="247"/>
      <c r="L311" s="247"/>
      <c r="M311" s="247"/>
    </row>
    <row r="312" spans="1:13" ht="15" customHeight="1" x14ac:dyDescent="0.35">
      <c r="A312" s="879"/>
      <c r="B312" s="241"/>
      <c r="C312" s="241"/>
      <c r="D312" s="1003" t="str">
        <f>D276</f>
        <v>من سنة إلى 5 سنوات</v>
      </c>
      <c r="E312" s="1004"/>
      <c r="F312" s="243"/>
      <c r="G312" s="362">
        <f>SUM(I312:BG312)</f>
        <v>0</v>
      </c>
      <c r="H312" s="176"/>
      <c r="I312" s="247"/>
      <c r="J312" s="247"/>
      <c r="K312" s="247"/>
      <c r="L312" s="247"/>
      <c r="M312" s="247"/>
    </row>
    <row r="313" spans="1:13" ht="15" customHeight="1" x14ac:dyDescent="0.35">
      <c r="A313" s="879"/>
      <c r="B313" s="241"/>
      <c r="C313" s="241"/>
      <c r="D313" s="1008" t="str">
        <f>D277</f>
        <v>أكثر من خمس سنوات</v>
      </c>
      <c r="E313" s="1009"/>
      <c r="F313" s="243"/>
      <c r="G313" s="363">
        <f>SUM(I313:BG313)</f>
        <v>0</v>
      </c>
      <c r="H313" s="176"/>
      <c r="I313" s="247"/>
      <c r="J313" s="247"/>
      <c r="K313" s="247"/>
      <c r="L313" s="247"/>
      <c r="M313" s="247"/>
    </row>
    <row r="314" spans="1:13" ht="15" customHeight="1" x14ac:dyDescent="0.35">
      <c r="A314" s="879"/>
      <c r="B314" s="176"/>
      <c r="C314" s="176"/>
      <c r="D314" s="176"/>
      <c r="E314" s="176"/>
      <c r="F314" s="176"/>
      <c r="G314" s="176"/>
      <c r="H314" s="176"/>
      <c r="I314" s="176"/>
      <c r="J314" s="176"/>
      <c r="K314" s="176"/>
      <c r="L314" s="176"/>
      <c r="M314" s="176"/>
    </row>
    <row r="315" spans="1:13" ht="12" customHeight="1" x14ac:dyDescent="0.35">
      <c r="A315" s="879"/>
      <c r="B315" s="176"/>
      <c r="C315" s="176"/>
      <c r="D315" s="176"/>
      <c r="E315" s="176"/>
      <c r="F315" s="176"/>
      <c r="G315" s="176"/>
      <c r="H315" s="176"/>
      <c r="I315" s="176"/>
      <c r="J315" s="176"/>
      <c r="K315" s="176"/>
      <c r="L315" s="176"/>
      <c r="M315" s="176"/>
    </row>
    <row r="316" spans="1:13" ht="12" customHeight="1" x14ac:dyDescent="0.35">
      <c r="A316" s="879"/>
      <c r="B316" s="176"/>
      <c r="C316" s="176"/>
      <c r="D316" s="176"/>
      <c r="E316" s="176"/>
      <c r="F316" s="176"/>
      <c r="G316" s="176"/>
      <c r="H316" s="176"/>
      <c r="I316" s="176"/>
      <c r="J316" s="176"/>
      <c r="K316" s="176"/>
      <c r="L316" s="176"/>
    </row>
    <row r="317" spans="1:13" ht="12" customHeight="1" x14ac:dyDescent="0.35">
      <c r="A317" s="879"/>
      <c r="B317" s="176"/>
      <c r="C317" s="176"/>
      <c r="D317" s="176"/>
      <c r="E317" s="176"/>
      <c r="F317" s="176"/>
      <c r="G317" s="176"/>
      <c r="H317" s="176"/>
      <c r="I317" s="176"/>
      <c r="J317" s="176"/>
      <c r="K317" s="176"/>
      <c r="L317" s="176"/>
    </row>
    <row r="318" spans="1:13" ht="12" customHeight="1" x14ac:dyDescent="0.35">
      <c r="A318" s="879"/>
      <c r="B318" s="176"/>
      <c r="C318" s="176"/>
      <c r="D318" s="176"/>
      <c r="E318" s="176"/>
      <c r="F318" s="176"/>
      <c r="G318" s="176"/>
      <c r="H318" s="176"/>
      <c r="I318" s="176"/>
      <c r="J318" s="176"/>
      <c r="K318" s="176"/>
      <c r="L318" s="176"/>
    </row>
  </sheetData>
  <sheetProtection password="A972" sheet="1" objects="1" scenarios="1"/>
  <mergeCells count="205">
    <mergeCell ref="A3:E3"/>
    <mergeCell ref="A1:E1"/>
    <mergeCell ref="D312:E312"/>
    <mergeCell ref="D313:E313"/>
    <mergeCell ref="B105:E105"/>
    <mergeCell ref="D289:E289"/>
    <mergeCell ref="C297:E297"/>
    <mergeCell ref="D298:E298"/>
    <mergeCell ref="D299:E299"/>
    <mergeCell ref="D300:E300"/>
    <mergeCell ref="D301:E301"/>
    <mergeCell ref="C309:E309"/>
    <mergeCell ref="D310:E310"/>
    <mergeCell ref="D311:E311"/>
    <mergeCell ref="C273:E273"/>
    <mergeCell ref="D274:E274"/>
    <mergeCell ref="D275:E275"/>
    <mergeCell ref="D276:E276"/>
    <mergeCell ref="D277:E277"/>
    <mergeCell ref="C285:E285"/>
    <mergeCell ref="D286:E286"/>
    <mergeCell ref="D287:E287"/>
    <mergeCell ref="D288:E288"/>
    <mergeCell ref="D250:E250"/>
    <mergeCell ref="D252:E252"/>
    <mergeCell ref="C260:E260"/>
    <mergeCell ref="D261:E261"/>
    <mergeCell ref="D262:E262"/>
    <mergeCell ref="D263:E263"/>
    <mergeCell ref="D264:E264"/>
    <mergeCell ref="B272:E272"/>
    <mergeCell ref="D227:E227"/>
    <mergeCell ref="D228:E228"/>
    <mergeCell ref="C236:E236"/>
    <mergeCell ref="D237:E237"/>
    <mergeCell ref="D238:E238"/>
    <mergeCell ref="D239:E239"/>
    <mergeCell ref="D240:E240"/>
    <mergeCell ref="C248:E248"/>
    <mergeCell ref="D249:E249"/>
    <mergeCell ref="A212:E212"/>
    <mergeCell ref="D213:E213"/>
    <mergeCell ref="D214:E214"/>
    <mergeCell ref="D215:E215"/>
    <mergeCell ref="D216:E216"/>
    <mergeCell ref="C224:E224"/>
    <mergeCell ref="D225:E225"/>
    <mergeCell ref="D226:E226"/>
    <mergeCell ref="D251:E251"/>
    <mergeCell ref="B211:E211"/>
    <mergeCell ref="C135:E135"/>
    <mergeCell ref="C136:E136"/>
    <mergeCell ref="C137:E137"/>
    <mergeCell ref="C138:E138"/>
    <mergeCell ref="C139:E139"/>
    <mergeCell ref="C140:E140"/>
    <mergeCell ref="C141:E141"/>
    <mergeCell ref="C147:E147"/>
    <mergeCell ref="C148:E148"/>
    <mergeCell ref="C142:E142"/>
    <mergeCell ref="C143:E143"/>
    <mergeCell ref="C158:E158"/>
    <mergeCell ref="C152:E152"/>
    <mergeCell ref="C153:E153"/>
    <mergeCell ref="C154:E154"/>
    <mergeCell ref="C166:E166"/>
    <mergeCell ref="C171:E171"/>
    <mergeCell ref="C172:E172"/>
    <mergeCell ref="C173:E173"/>
    <mergeCell ref="C161:E161"/>
    <mergeCell ref="C162:E162"/>
    <mergeCell ref="C163:E163"/>
    <mergeCell ref="C164:E164"/>
    <mergeCell ref="B133:E133"/>
    <mergeCell ref="C151:E151"/>
    <mergeCell ref="B191:E191"/>
    <mergeCell ref="B192:E192"/>
    <mergeCell ref="C144:E144"/>
    <mergeCell ref="C145:E145"/>
    <mergeCell ref="C146:E146"/>
    <mergeCell ref="C157:E157"/>
    <mergeCell ref="C180:E180"/>
    <mergeCell ref="C181:E181"/>
    <mergeCell ref="C174:E174"/>
    <mergeCell ref="C182:E182"/>
    <mergeCell ref="C183:E183"/>
    <mergeCell ref="C176:E176"/>
    <mergeCell ref="C177:E177"/>
    <mergeCell ref="C155:E155"/>
    <mergeCell ref="C156:E156"/>
    <mergeCell ref="C159:E159"/>
    <mergeCell ref="C160:E160"/>
    <mergeCell ref="C175:E175"/>
    <mergeCell ref="C167:E167"/>
    <mergeCell ref="C168:E168"/>
    <mergeCell ref="C169:E169"/>
    <mergeCell ref="C170:E170"/>
    <mergeCell ref="C165:E165"/>
    <mergeCell ref="B29:E29"/>
    <mergeCell ref="B209:F209"/>
    <mergeCell ref="C185:E185"/>
    <mergeCell ref="C186:E186"/>
    <mergeCell ref="C187:E187"/>
    <mergeCell ref="C188:E188"/>
    <mergeCell ref="C189:E189"/>
    <mergeCell ref="C203:E203"/>
    <mergeCell ref="C207:E207"/>
    <mergeCell ref="C206:E206"/>
    <mergeCell ref="C205:E205"/>
    <mergeCell ref="C204:E204"/>
    <mergeCell ref="C202:E202"/>
    <mergeCell ref="C197:E197"/>
    <mergeCell ref="C200:E200"/>
    <mergeCell ref="C201:E201"/>
    <mergeCell ref="A199:E199"/>
    <mergeCell ref="C193:E193"/>
    <mergeCell ref="C194:E194"/>
    <mergeCell ref="C195:E195"/>
    <mergeCell ref="C196:E196"/>
    <mergeCell ref="C184:E184"/>
    <mergeCell ref="C178:E178"/>
    <mergeCell ref="C179:E179"/>
    <mergeCell ref="A9:E9"/>
    <mergeCell ref="A6:E6"/>
    <mergeCell ref="A5:E5"/>
    <mergeCell ref="A7:E7"/>
    <mergeCell ref="A8:E8"/>
    <mergeCell ref="A11:E11"/>
    <mergeCell ref="A12:E12"/>
    <mergeCell ref="A14:E14"/>
    <mergeCell ref="C71:E71"/>
    <mergeCell ref="B30:E30"/>
    <mergeCell ref="A17:E17"/>
    <mergeCell ref="A18:E18"/>
    <mergeCell ref="A19:E19"/>
    <mergeCell ref="A20:E20"/>
    <mergeCell ref="A21:E21"/>
    <mergeCell ref="A10:E10"/>
    <mergeCell ref="A13:E13"/>
    <mergeCell ref="A15:E15"/>
    <mergeCell ref="A16:E16"/>
    <mergeCell ref="A22:E22"/>
    <mergeCell ref="A23:E23"/>
    <mergeCell ref="A24:E24"/>
    <mergeCell ref="A25:E25"/>
    <mergeCell ref="A27:E27"/>
    <mergeCell ref="C78:E78"/>
    <mergeCell ref="C79:E79"/>
    <mergeCell ref="D52:E52"/>
    <mergeCell ref="C61:E61"/>
    <mergeCell ref="C60:E60"/>
    <mergeCell ref="B63:E63"/>
    <mergeCell ref="B31:F31"/>
    <mergeCell ref="B32:E32"/>
    <mergeCell ref="B33:E33"/>
    <mergeCell ref="B34:E34"/>
    <mergeCell ref="C46:E46"/>
    <mergeCell ref="B38:E38"/>
    <mergeCell ref="C39:E39"/>
    <mergeCell ref="B75:E75"/>
    <mergeCell ref="B77:E77"/>
    <mergeCell ref="C97:E97"/>
    <mergeCell ref="A107:E107"/>
    <mergeCell ref="C48:E48"/>
    <mergeCell ref="D49:E49"/>
    <mergeCell ref="B84:E84"/>
    <mergeCell ref="B86:E86"/>
    <mergeCell ref="B90:D90"/>
    <mergeCell ref="C91:E91"/>
    <mergeCell ref="C92:E92"/>
    <mergeCell ref="C93:E93"/>
    <mergeCell ref="C101:E101"/>
    <mergeCell ref="C100:E100"/>
    <mergeCell ref="C96:E96"/>
    <mergeCell ref="C95:E95"/>
    <mergeCell ref="C94:E94"/>
    <mergeCell ref="C102:E102"/>
    <mergeCell ref="C103:E103"/>
    <mergeCell ref="C99:E99"/>
    <mergeCell ref="C98:E98"/>
    <mergeCell ref="B73:E73"/>
    <mergeCell ref="C130:E130"/>
    <mergeCell ref="C131:E131"/>
    <mergeCell ref="A2:E2"/>
    <mergeCell ref="C125:E125"/>
    <mergeCell ref="C126:E126"/>
    <mergeCell ref="C127:E127"/>
    <mergeCell ref="C128:E128"/>
    <mergeCell ref="C129:E129"/>
    <mergeCell ref="C120:E120"/>
    <mergeCell ref="C121:E121"/>
    <mergeCell ref="C122:E122"/>
    <mergeCell ref="C123:E123"/>
    <mergeCell ref="C124:E124"/>
    <mergeCell ref="C114:E114"/>
    <mergeCell ref="C115:E115"/>
    <mergeCell ref="C116:E116"/>
    <mergeCell ref="C119:E119"/>
    <mergeCell ref="C117:E117"/>
    <mergeCell ref="C118:E118"/>
    <mergeCell ref="C109:E109"/>
    <mergeCell ref="C110:E110"/>
    <mergeCell ref="C111:E111"/>
    <mergeCell ref="C112:E112"/>
    <mergeCell ref="C113:E113"/>
  </mergeCells>
  <dataValidations count="15">
    <dataValidation allowBlank="1" showInputMessage="1" showErrorMessage="1" prompt="هذه المدخلات للمعلومات فقط، يرجى استخدامها للافتراضات فيما يتعلق بالتوبيبات ذات الصلة" sqref="I105:N105"/>
    <dataValidation allowBlank="1" showInputMessage="1" showErrorMessage="1" prompt="يرجى تحديد الإدخال في تبويب الملاءة" sqref="A22:E22"/>
    <dataValidation type="whole" allowBlank="1" showInputMessage="1" showErrorMessage="1" promptTitle="يرجى إدخال الشهر  " prompt="مثال: 12 لأرقام نهاية شهر ديسمبر" sqref="M6">
      <formula1>1</formula1>
      <formula2>12</formula2>
    </dataValidation>
    <dataValidation allowBlank="1" showInputMessage="1" showErrorMessage="1" prompt="على النحو المحدد بموجب (الفقرة. 54و) من اتفاقية بازل، أي الودائع المشمولة بنظام حماية ودائع العملاء والودائع في حسابات المعاملات" sqref="I113:M113 I180:M180"/>
    <dataValidation allowBlank="1" sqref="I8:M9"/>
    <dataValidation allowBlank="1" showInputMessage="1" showErrorMessage="1" promptTitle="يرجى إدخال اسم البنك" sqref="I4:M4 J199:M199 I13:M13 J27:M27 J36:M36 J89:M89 J108:M108 J134:M134 J151:M151 J192:M192 L209"/>
    <dataValidation type="whole" allowBlank="1" showInputMessage="1" showErrorMessage="1" errorTitle="إدخال غير صحيح" error="يرجى مراجعة" promptTitle="يرجى إدخال سنة التقرير" prompt="مثال: 2009" sqref="M5">
      <formula1>1990</formula1>
      <formula2>2020</formula2>
    </dataValidation>
    <dataValidation allowBlank="1" showInputMessage="1" showErrorMessage="1" sqref="C183"/>
    <dataValidation allowBlank="1" showInputMessage="1" showErrorMessage="1" prompt="الرجاء إدراج الحصة السوقية للموجودات المصرفية الإسلامية في الموجودات المصرفية" sqref="G17"/>
    <dataValidation allowBlank="1" showInputMessage="1" showErrorMessage="1" prompt="يرجى الرجوع إلى الإرشادات السادسة لآجال الاستحقاق أقل من 30 يوماً. إذا كان يحق للعميل سحب ودائعه قبل فترة إشعار قوامها 30 يوماً دون خصم من الربح." sqref="I157:M157"/>
    <dataValidation allowBlank="1" showInputMessage="1" showErrorMessage="1" prompt="الحسابات التشغيلية هي لأنشطة المقاصة والوصاية وإدارة النقد" sqref="C115:E115"/>
    <dataValidation allowBlank="1" showInputMessage="1" showErrorMessage="1" prompt="الحسابات التشغيلية هي لأنشطة المقاصة والوصاية وإدارة النقد" sqref="C116:E116"/>
    <dataValidation type="whole" allowBlank="1" showInputMessage="1" showErrorMessage="1" errorTitle="إدخال غير صحيح" error="يرجى مراجعة" promptTitle="يرجى إدخال سنة التقرير" prompt="مثال: 2009" sqref="I5 J5 K5 L5">
      <formula1>1990</formula1>
      <formula2>2020</formula2>
    </dataValidation>
    <dataValidation type="whole" allowBlank="1" showInputMessage="1" showErrorMessage="1" promptTitle="يرجى إدخال الشهر  " prompt="مثال: 12 لأرقام نهاية شهر ديسمبر" sqref="I6 J6 K6 L6">
      <formula1>1</formula1>
      <formula2>12</formula2>
    </dataValidation>
    <dataValidation allowBlank="1" showInputMessage="1" showErrorMessage="1" prompt="الرجاء تغيير فئات الموجودات عند الاقتضاء_x000a__x000a_" sqref="C91:E91 C92:E92 C93:E93 C94:E94 C95:E95 C96:E96 C97:E97 C98:E98 C99:E99 C100:E100 C101:E101 C102:E102 C103:E103"/>
  </dataValidations>
  <pageMargins left="0.98425196850393704" right="0.19685039370078741" top="0.98425196850393704" bottom="0.98425196850393704" header="0.51181102362204722" footer="0.51181102362204722"/>
  <pageSetup paperSize="9" scale="50" fitToWidth="0" fitToHeight="0" orientation="landscape" r:id="rId1"/>
  <headerFooter>
    <oddHeader xml:space="preserve">&amp;C&amp;"Sakkal Majalla,Regular"&amp;10مجلس الخدمات المالية الإسلامية 2017 ©
هذه الوثيقة هي جزء من الملاحظة الفنية رقم 2 (الملاحظة الفنية حول اختبارات الضغط للمؤسسات التي تقدم خدمات مالية إسلامية)، ديسمبر 2016
</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0070C0"/>
  </sheetPr>
  <dimension ref="A1:U553"/>
  <sheetViews>
    <sheetView rightToLeft="1" view="pageLayout" topLeftCell="A84" zoomScale="90" zoomScaleNormal="100" zoomScaleSheetLayoutView="100" zoomScalePageLayoutView="90" workbookViewId="0">
      <selection activeCell="A100" sqref="A100:I100"/>
    </sheetView>
  </sheetViews>
  <sheetFormatPr defaultColWidth="9.140625" defaultRowHeight="12.75" x14ac:dyDescent="0.2"/>
  <cols>
    <col min="1" max="1" width="88.7109375" style="54" customWidth="1"/>
    <col min="2" max="2" width="14" style="38" customWidth="1"/>
    <col min="3" max="3" width="15.42578125" style="38" customWidth="1"/>
    <col min="4" max="5" width="14" style="38" customWidth="1"/>
    <col min="6" max="6" width="14" style="55" customWidth="1"/>
    <col min="7" max="7" width="14.5703125" style="38" customWidth="1"/>
    <col min="8" max="8" width="17.7109375" style="38" customWidth="1"/>
    <col min="9" max="9" width="14.5703125" style="38" customWidth="1"/>
    <col min="10" max="10" width="0.140625" style="38" customWidth="1"/>
    <col min="11" max="11" width="13.5703125" style="38" customWidth="1"/>
    <col min="12" max="14" width="13.7109375" style="38" customWidth="1"/>
    <col min="15" max="15" width="13.5703125" style="38" customWidth="1"/>
    <col min="16" max="16" width="14" style="38" customWidth="1"/>
    <col min="17" max="20" width="13.7109375" style="38" customWidth="1"/>
    <col min="21" max="21" width="14.5703125" style="38" customWidth="1"/>
    <col min="22" max="16384" width="9.140625" style="11"/>
  </cols>
  <sheetData>
    <row r="1" spans="1:14" ht="13.5" thickBot="1" x14ac:dyDescent="0.25"/>
    <row r="2" spans="1:14" ht="19.5" thickBot="1" x14ac:dyDescent="0.5">
      <c r="A2" s="1036" t="s">
        <v>135</v>
      </c>
      <c r="B2" s="1037"/>
      <c r="C2" s="1037"/>
      <c r="D2" s="1037"/>
      <c r="E2" s="1037"/>
      <c r="F2" s="1037"/>
      <c r="G2" s="1037"/>
      <c r="H2" s="1037"/>
      <c r="I2" s="1037"/>
      <c r="J2" s="373"/>
      <c r="K2"/>
      <c r="L2"/>
      <c r="M2"/>
      <c r="N2"/>
    </row>
    <row r="3" spans="1:14" ht="15" x14ac:dyDescent="0.35">
      <c r="A3" s="58"/>
      <c r="B3" s="57"/>
      <c r="C3" s="57"/>
      <c r="D3" s="57"/>
      <c r="E3" s="57"/>
      <c r="F3" s="59"/>
      <c r="G3" s="57"/>
      <c r="H3" s="57"/>
      <c r="I3" s="57"/>
      <c r="J3" s="57"/>
      <c r="K3" s="57"/>
      <c r="L3" s="57"/>
      <c r="M3" s="57"/>
      <c r="N3" s="57"/>
    </row>
    <row r="4" spans="1:14" ht="15" customHeight="1" x14ac:dyDescent="0.35">
      <c r="A4" s="1040" t="s">
        <v>39</v>
      </c>
      <c r="B4" s="1041"/>
      <c r="C4" s="1041"/>
      <c r="D4" s="1041"/>
      <c r="E4" s="1041"/>
      <c r="F4" s="1041"/>
      <c r="G4" s="1041"/>
      <c r="H4" s="1041"/>
      <c r="I4" s="1042"/>
      <c r="J4" s="374"/>
      <c r="K4"/>
      <c r="L4"/>
      <c r="M4"/>
      <c r="N4"/>
    </row>
    <row r="5" spans="1:14" ht="15" x14ac:dyDescent="0.35">
      <c r="A5" s="58"/>
      <c r="B5" s="57"/>
      <c r="C5" s="57"/>
      <c r="D5" s="57"/>
      <c r="E5" s="57"/>
      <c r="F5" s="59"/>
      <c r="G5" s="57"/>
      <c r="H5" s="57"/>
      <c r="I5" s="57"/>
      <c r="J5" s="57"/>
      <c r="K5" s="57"/>
      <c r="L5" s="57"/>
      <c r="M5" s="57"/>
      <c r="N5" s="57"/>
    </row>
    <row r="6" spans="1:14" ht="15" x14ac:dyDescent="0.35">
      <c r="A6" s="854" t="s">
        <v>387</v>
      </c>
      <c r="B6" s="855"/>
      <c r="C6" s="855"/>
      <c r="D6" s="856"/>
      <c r="E6" s="57"/>
    </row>
    <row r="7" spans="1:14" ht="15" x14ac:dyDescent="0.35">
      <c r="A7" s="58"/>
      <c r="B7" s="60"/>
      <c r="C7" s="57"/>
      <c r="D7" s="57"/>
      <c r="E7" s="57"/>
    </row>
    <row r="8" spans="1:14" ht="15" x14ac:dyDescent="0.35">
      <c r="A8" s="58"/>
      <c r="B8" s="61" t="s">
        <v>10</v>
      </c>
      <c r="C8" s="57"/>
      <c r="D8" s="61" t="s">
        <v>311</v>
      </c>
      <c r="E8" s="57"/>
    </row>
    <row r="9" spans="1:14" ht="45" x14ac:dyDescent="0.35">
      <c r="A9" s="58"/>
      <c r="B9" s="157" t="s">
        <v>136</v>
      </c>
      <c r="C9" s="62"/>
      <c r="D9" s="157" t="s">
        <v>312</v>
      </c>
      <c r="E9" s="57"/>
    </row>
    <row r="10" spans="1:14" ht="15" x14ac:dyDescent="0.35">
      <c r="A10" s="67" t="s">
        <v>14</v>
      </c>
      <c r="B10" s="68">
        <v>0.03</v>
      </c>
      <c r="C10" s="69"/>
      <c r="D10" s="68">
        <v>0.05</v>
      </c>
      <c r="E10" s="57"/>
    </row>
    <row r="11" spans="1:14" ht="15" x14ac:dyDescent="0.35">
      <c r="A11" s="67" t="s">
        <v>16</v>
      </c>
      <c r="B11" s="833">
        <v>0.03</v>
      </c>
      <c r="C11" s="57"/>
      <c r="D11" s="72">
        <v>0.1</v>
      </c>
      <c r="E11" s="365"/>
    </row>
    <row r="12" spans="1:14" ht="15" x14ac:dyDescent="0.35">
      <c r="A12" s="78" t="s">
        <v>388</v>
      </c>
      <c r="B12" s="79">
        <v>0.03</v>
      </c>
      <c r="C12" s="57"/>
      <c r="D12" s="79">
        <v>0.05</v>
      </c>
      <c r="E12" s="365"/>
    </row>
    <row r="13" spans="1:14" ht="15" x14ac:dyDescent="0.35">
      <c r="A13" s="86" t="s">
        <v>81</v>
      </c>
      <c r="B13" s="87"/>
      <c r="C13" s="57"/>
      <c r="D13" s="87"/>
      <c r="E13" s="365"/>
    </row>
    <row r="14" spans="1:14" ht="15" x14ac:dyDescent="0.35">
      <c r="A14" s="86" t="s">
        <v>313</v>
      </c>
      <c r="B14" s="87"/>
      <c r="C14" s="57"/>
      <c r="D14" s="87"/>
      <c r="E14" s="365"/>
    </row>
    <row r="15" spans="1:14" ht="15" x14ac:dyDescent="0.35">
      <c r="A15" s="78" t="s">
        <v>137</v>
      </c>
      <c r="B15" s="87">
        <v>0.1</v>
      </c>
      <c r="C15" s="57"/>
      <c r="D15" s="87"/>
      <c r="E15" s="365"/>
    </row>
    <row r="16" spans="1:14" ht="15" x14ac:dyDescent="0.35">
      <c r="A16" s="86"/>
      <c r="B16" s="87"/>
      <c r="C16" s="57"/>
      <c r="D16" s="87"/>
      <c r="E16" s="365"/>
    </row>
    <row r="17" spans="1:14" ht="15" x14ac:dyDescent="0.35">
      <c r="A17" s="86"/>
      <c r="B17" s="87"/>
      <c r="C17" s="57"/>
      <c r="D17" s="87"/>
      <c r="E17" s="365"/>
    </row>
    <row r="18" spans="1:14" ht="15" x14ac:dyDescent="0.35">
      <c r="A18" s="86"/>
      <c r="B18" s="87"/>
      <c r="C18" s="57"/>
      <c r="D18" s="87"/>
      <c r="E18" s="365"/>
    </row>
    <row r="19" spans="1:14" ht="15" x14ac:dyDescent="0.35">
      <c r="A19" s="86"/>
      <c r="B19" s="87"/>
      <c r="C19" s="57"/>
      <c r="D19" s="87"/>
      <c r="E19" s="365"/>
    </row>
    <row r="20" spans="1:14" ht="15" x14ac:dyDescent="0.35">
      <c r="A20" s="86"/>
      <c r="B20" s="87"/>
      <c r="C20" s="57"/>
      <c r="D20" s="87"/>
      <c r="E20" s="365"/>
    </row>
    <row r="21" spans="1:14" ht="15" x14ac:dyDescent="0.35">
      <c r="A21" s="88"/>
      <c r="B21" s="89"/>
      <c r="C21" s="57"/>
      <c r="D21" s="89"/>
      <c r="E21" s="365"/>
    </row>
    <row r="22" spans="1:14" ht="15" x14ac:dyDescent="0.35">
      <c r="A22" s="90"/>
      <c r="B22" s="57"/>
      <c r="C22" s="57"/>
      <c r="D22" s="57"/>
      <c r="E22" s="365"/>
    </row>
    <row r="23" spans="1:14" ht="15" x14ac:dyDescent="0.35">
      <c r="A23" s="67" t="s">
        <v>405</v>
      </c>
      <c r="B23" s="68">
        <v>0.03</v>
      </c>
      <c r="C23" s="57"/>
      <c r="D23" s="68">
        <v>0.03</v>
      </c>
      <c r="E23" s="365"/>
    </row>
    <row r="24" spans="1:14" ht="15" x14ac:dyDescent="0.35">
      <c r="A24" s="102" t="s">
        <v>300</v>
      </c>
      <c r="B24" s="87">
        <v>0.03</v>
      </c>
      <c r="C24" s="57"/>
      <c r="D24" s="97">
        <v>0.01</v>
      </c>
      <c r="E24" s="57"/>
      <c r="F24" s="59"/>
      <c r="G24" s="57"/>
      <c r="H24" s="57"/>
      <c r="I24" s="57"/>
      <c r="J24" s="57"/>
      <c r="K24" s="57"/>
      <c r="L24" s="57"/>
      <c r="M24" s="57"/>
      <c r="N24" s="57"/>
    </row>
    <row r="25" spans="1:14" ht="15" x14ac:dyDescent="0.35">
      <c r="A25" s="78" t="s">
        <v>305</v>
      </c>
      <c r="B25" s="87">
        <v>0.03</v>
      </c>
      <c r="C25" s="57"/>
      <c r="D25" s="87"/>
      <c r="E25" s="57"/>
      <c r="F25" s="59"/>
      <c r="G25" s="57"/>
      <c r="H25" s="57"/>
      <c r="I25" s="57"/>
      <c r="J25" s="57"/>
      <c r="K25" s="57"/>
      <c r="L25" s="57"/>
      <c r="M25" s="57"/>
      <c r="N25" s="57"/>
    </row>
    <row r="26" spans="1:14" ht="15" x14ac:dyDescent="0.35">
      <c r="A26" s="86" t="s">
        <v>356</v>
      </c>
      <c r="B26" s="87"/>
      <c r="C26" s="57"/>
      <c r="D26" s="87"/>
      <c r="E26" s="57"/>
      <c r="F26" s="59"/>
      <c r="G26" s="57"/>
      <c r="H26" s="57"/>
      <c r="I26" s="57"/>
      <c r="J26" s="57"/>
      <c r="K26" s="57"/>
      <c r="L26" s="57"/>
      <c r="M26" s="57"/>
      <c r="N26" s="57"/>
    </row>
    <row r="27" spans="1:14" ht="15" x14ac:dyDescent="0.35">
      <c r="A27" s="78" t="s">
        <v>82</v>
      </c>
      <c r="B27" s="87">
        <v>0.06</v>
      </c>
      <c r="C27" s="57"/>
      <c r="D27" s="98">
        <v>0.02</v>
      </c>
      <c r="E27" s="57"/>
      <c r="F27" s="59"/>
      <c r="G27" s="57"/>
      <c r="H27" s="57"/>
      <c r="I27" s="57"/>
      <c r="J27" s="57"/>
      <c r="K27" s="57"/>
      <c r="L27" s="57"/>
      <c r="M27" s="57"/>
      <c r="N27" s="57"/>
    </row>
    <row r="28" spans="1:14" ht="15" x14ac:dyDescent="0.35">
      <c r="A28" s="78" t="s">
        <v>306</v>
      </c>
      <c r="B28" s="87">
        <v>0.06</v>
      </c>
      <c r="C28" s="57"/>
      <c r="D28" s="98"/>
      <c r="E28" s="57"/>
      <c r="F28" s="59"/>
      <c r="G28" s="57"/>
      <c r="H28" s="57"/>
      <c r="I28" s="57"/>
      <c r="J28" s="57"/>
      <c r="K28" s="57"/>
      <c r="L28" s="57"/>
      <c r="M28" s="57"/>
      <c r="N28" s="57"/>
    </row>
    <row r="29" spans="1:14" ht="15" x14ac:dyDescent="0.35">
      <c r="A29" s="86" t="s">
        <v>369</v>
      </c>
      <c r="B29" s="87"/>
      <c r="C29" s="57"/>
      <c r="D29" s="98"/>
      <c r="E29" s="57"/>
      <c r="F29" s="59"/>
      <c r="G29" s="57"/>
      <c r="H29" s="57"/>
      <c r="I29" s="57"/>
      <c r="J29" s="57"/>
      <c r="K29" s="57"/>
      <c r="L29" s="57"/>
      <c r="M29" s="57"/>
      <c r="N29" s="57"/>
    </row>
    <row r="30" spans="1:14" ht="15" x14ac:dyDescent="0.35">
      <c r="A30" s="86" t="s">
        <v>19</v>
      </c>
      <c r="B30" s="87"/>
      <c r="C30" s="57"/>
      <c r="D30" s="98"/>
      <c r="E30" s="57"/>
      <c r="F30" s="59"/>
      <c r="G30" s="57"/>
      <c r="H30" s="57"/>
      <c r="I30" s="57"/>
      <c r="J30" s="57"/>
      <c r="K30" s="57"/>
      <c r="L30" s="57"/>
      <c r="M30" s="57"/>
      <c r="N30" s="57"/>
    </row>
    <row r="31" spans="1:14" ht="15" x14ac:dyDescent="0.35">
      <c r="A31" s="86" t="s">
        <v>20</v>
      </c>
      <c r="B31" s="87"/>
      <c r="C31" s="57"/>
      <c r="D31" s="98"/>
      <c r="E31" s="57"/>
      <c r="F31" s="59"/>
      <c r="G31" s="57"/>
      <c r="H31" s="57"/>
      <c r="I31" s="57"/>
      <c r="J31" s="57"/>
      <c r="K31" s="57"/>
      <c r="L31" s="57"/>
      <c r="M31" s="57"/>
      <c r="N31" s="57"/>
    </row>
    <row r="32" spans="1:14" ht="15" x14ac:dyDescent="0.35">
      <c r="A32" s="78" t="s">
        <v>394</v>
      </c>
      <c r="B32" s="87">
        <v>0.2</v>
      </c>
      <c r="C32" s="57"/>
      <c r="D32" s="98"/>
      <c r="E32" s="57"/>
      <c r="F32" s="59"/>
      <c r="G32" s="57"/>
      <c r="H32" s="57"/>
      <c r="I32" s="57"/>
      <c r="J32" s="57"/>
      <c r="K32" s="57"/>
      <c r="L32" s="57"/>
      <c r="M32" s="57"/>
      <c r="N32" s="57"/>
    </row>
    <row r="33" spans="1:14" ht="15" x14ac:dyDescent="0.35">
      <c r="A33" s="99" t="s">
        <v>395</v>
      </c>
      <c r="B33" s="89">
        <v>0.03</v>
      </c>
      <c r="C33" s="57"/>
      <c r="D33" s="89">
        <v>0.01</v>
      </c>
      <c r="E33" s="57"/>
      <c r="F33" s="59"/>
      <c r="G33" s="57"/>
      <c r="H33" s="57"/>
      <c r="I33" s="57"/>
      <c r="J33" s="57"/>
      <c r="K33" s="57"/>
      <c r="L33" s="57"/>
      <c r="M33" s="57"/>
      <c r="N33" s="57"/>
    </row>
    <row r="34" spans="1:14" ht="15" x14ac:dyDescent="0.35">
      <c r="A34" s="105"/>
      <c r="B34" s="57"/>
      <c r="C34" s="57"/>
      <c r="D34" s="57"/>
      <c r="E34" s="57"/>
      <c r="F34" s="59"/>
      <c r="G34" s="57"/>
      <c r="H34" s="57"/>
      <c r="I34" s="57"/>
      <c r="J34" s="57"/>
      <c r="K34" s="57"/>
      <c r="L34" s="57"/>
      <c r="M34" s="57"/>
      <c r="N34" s="57"/>
    </row>
    <row r="35" spans="1:14" ht="15" x14ac:dyDescent="0.35">
      <c r="A35" s="67" t="s">
        <v>21</v>
      </c>
      <c r="B35" s="72">
        <v>0</v>
      </c>
      <c r="C35" s="57"/>
      <c r="D35" s="72">
        <v>0</v>
      </c>
      <c r="E35" s="57"/>
      <c r="F35" s="59"/>
      <c r="G35" s="57"/>
      <c r="H35" s="57"/>
      <c r="I35" s="57"/>
      <c r="J35" s="57"/>
      <c r="K35" s="57"/>
      <c r="L35" s="57"/>
      <c r="M35" s="57"/>
      <c r="N35" s="57"/>
    </row>
    <row r="36" spans="1:14" ht="15" x14ac:dyDescent="0.35">
      <c r="A36" s="100" t="s">
        <v>84</v>
      </c>
      <c r="B36" s="79"/>
      <c r="C36" s="57"/>
      <c r="D36" s="79"/>
      <c r="E36" s="57"/>
      <c r="F36" s="59"/>
      <c r="G36" s="57"/>
      <c r="H36" s="57"/>
      <c r="I36" s="57"/>
      <c r="J36" s="57"/>
      <c r="K36" s="57"/>
      <c r="L36" s="57"/>
      <c r="M36" s="57"/>
      <c r="N36" s="57"/>
    </row>
    <row r="37" spans="1:14" ht="15" x14ac:dyDescent="0.35">
      <c r="A37" s="101" t="s">
        <v>409</v>
      </c>
      <c r="B37" s="87"/>
      <c r="C37" s="57"/>
      <c r="D37" s="87"/>
      <c r="E37" s="57"/>
      <c r="F37" s="59"/>
      <c r="G37" s="57"/>
      <c r="H37" s="57"/>
      <c r="I37" s="57"/>
      <c r="J37" s="57"/>
      <c r="K37" s="57"/>
      <c r="L37" s="57"/>
      <c r="M37" s="57"/>
      <c r="N37" s="57"/>
    </row>
    <row r="38" spans="1:14" ht="15" x14ac:dyDescent="0.35">
      <c r="A38" s="101" t="s">
        <v>410</v>
      </c>
      <c r="B38" s="87"/>
      <c r="C38" s="57"/>
      <c r="D38" s="87"/>
      <c r="E38" s="57"/>
      <c r="F38" s="59"/>
      <c r="G38" s="57"/>
      <c r="H38" s="57"/>
      <c r="I38" s="57"/>
      <c r="J38" s="57"/>
      <c r="K38" s="57"/>
      <c r="L38" s="57"/>
      <c r="M38" s="57"/>
      <c r="N38" s="57"/>
    </row>
    <row r="39" spans="1:14" ht="15" x14ac:dyDescent="0.35">
      <c r="A39" s="101" t="s">
        <v>411</v>
      </c>
      <c r="B39" s="87"/>
      <c r="C39" s="57"/>
      <c r="D39" s="87"/>
      <c r="E39" s="57"/>
      <c r="F39" s="59"/>
      <c r="G39" s="57"/>
      <c r="H39" s="57"/>
      <c r="I39" s="57"/>
      <c r="J39" s="57"/>
      <c r="K39" s="57"/>
      <c r="L39" s="57"/>
      <c r="M39" s="57"/>
      <c r="N39" s="57"/>
    </row>
    <row r="40" spans="1:14" ht="15" x14ac:dyDescent="0.35">
      <c r="A40" s="101" t="s">
        <v>412</v>
      </c>
      <c r="B40" s="87"/>
      <c r="C40" s="57"/>
      <c r="D40" s="87"/>
      <c r="E40" s="57"/>
      <c r="F40" s="59"/>
      <c r="G40" s="57"/>
      <c r="H40" s="57"/>
      <c r="I40" s="57"/>
      <c r="J40" s="57"/>
      <c r="K40" s="57"/>
      <c r="L40" s="57"/>
      <c r="M40" s="57"/>
      <c r="N40" s="57"/>
    </row>
    <row r="41" spans="1:14" ht="15" x14ac:dyDescent="0.35">
      <c r="A41" s="101" t="s">
        <v>413</v>
      </c>
      <c r="B41" s="87"/>
      <c r="C41" s="57"/>
      <c r="D41" s="87"/>
      <c r="E41" s="57"/>
      <c r="F41" s="59"/>
      <c r="G41" s="57"/>
      <c r="H41" s="57"/>
      <c r="I41" s="57"/>
      <c r="J41" s="57"/>
      <c r="K41" s="57"/>
      <c r="L41" s="57"/>
      <c r="M41" s="57"/>
      <c r="N41" s="57"/>
    </row>
    <row r="42" spans="1:14" ht="15" x14ac:dyDescent="0.35">
      <c r="A42" s="101" t="s">
        <v>408</v>
      </c>
      <c r="B42" s="87"/>
      <c r="C42" s="57"/>
      <c r="D42" s="87"/>
      <c r="E42" s="57"/>
      <c r="F42" s="59"/>
      <c r="G42" s="57"/>
      <c r="H42" s="57"/>
      <c r="I42" s="57"/>
      <c r="J42" s="57"/>
      <c r="K42" s="57"/>
      <c r="L42" s="57"/>
      <c r="M42" s="57"/>
      <c r="N42" s="57"/>
    </row>
    <row r="43" spans="1:14" ht="15" x14ac:dyDescent="0.35">
      <c r="A43" s="102" t="s">
        <v>88</v>
      </c>
      <c r="B43" s="89"/>
      <c r="C43" s="57"/>
      <c r="D43" s="89"/>
      <c r="E43" s="57"/>
      <c r="F43" s="59"/>
      <c r="G43" s="57"/>
      <c r="H43" s="57"/>
      <c r="I43" s="57"/>
      <c r="J43" s="57"/>
      <c r="K43" s="57"/>
      <c r="L43" s="57"/>
      <c r="M43" s="57"/>
      <c r="N43" s="57"/>
    </row>
    <row r="44" spans="1:14" ht="15" x14ac:dyDescent="0.35">
      <c r="A44" s="105"/>
      <c r="B44" s="57"/>
      <c r="C44" s="57"/>
      <c r="D44" s="57"/>
      <c r="E44" s="57"/>
      <c r="F44" s="59"/>
      <c r="G44" s="57"/>
      <c r="H44" s="57"/>
      <c r="I44" s="57"/>
      <c r="J44" s="57"/>
      <c r="K44" s="57"/>
      <c r="L44" s="57"/>
      <c r="M44" s="57"/>
      <c r="N44" s="57"/>
    </row>
    <row r="45" spans="1:14" ht="30" x14ac:dyDescent="0.35">
      <c r="A45" s="106" t="s">
        <v>89</v>
      </c>
      <c r="B45" s="112" t="s">
        <v>139</v>
      </c>
      <c r="C45" s="103" t="s">
        <v>138</v>
      </c>
      <c r="D45" s="112" t="s">
        <v>139</v>
      </c>
      <c r="E45" s="57"/>
      <c r="F45" s="59"/>
      <c r="G45" s="57"/>
      <c r="H45" s="57"/>
      <c r="I45" s="57"/>
      <c r="J45" s="57"/>
      <c r="K45" s="57"/>
      <c r="L45" s="57"/>
      <c r="M45" s="57"/>
      <c r="N45" s="57"/>
    </row>
    <row r="46" spans="1:14" ht="15" x14ac:dyDescent="0.35">
      <c r="A46" s="104"/>
      <c r="B46" s="57"/>
      <c r="C46" s="57"/>
      <c r="D46" s="57"/>
      <c r="E46" s="57"/>
      <c r="F46" s="59"/>
      <c r="G46" s="57"/>
      <c r="H46" s="57"/>
      <c r="I46" s="57"/>
      <c r="J46" s="57"/>
      <c r="K46" s="57"/>
      <c r="L46" s="57"/>
      <c r="M46" s="57"/>
      <c r="N46" s="57"/>
    </row>
    <row r="47" spans="1:14" ht="30" x14ac:dyDescent="0.35">
      <c r="A47" s="111" t="s">
        <v>90</v>
      </c>
      <c r="B47" s="112" t="s">
        <v>139</v>
      </c>
      <c r="C47" s="103" t="s">
        <v>140</v>
      </c>
      <c r="D47" s="112" t="s">
        <v>139</v>
      </c>
      <c r="E47" s="57"/>
      <c r="F47" s="59"/>
      <c r="G47" s="57"/>
      <c r="H47" s="57"/>
      <c r="I47" s="57"/>
      <c r="J47" s="57"/>
      <c r="K47" s="57"/>
      <c r="L47" s="57"/>
      <c r="M47" s="57"/>
      <c r="N47" s="57"/>
    </row>
    <row r="48" spans="1:14" ht="15" x14ac:dyDescent="0.35">
      <c r="A48" s="105"/>
      <c r="B48" s="57"/>
      <c r="C48" s="57"/>
      <c r="D48" s="57"/>
      <c r="E48" s="57"/>
      <c r="F48" s="59"/>
      <c r="G48" s="57"/>
      <c r="H48" s="57"/>
      <c r="I48" s="57"/>
      <c r="J48" s="57"/>
      <c r="K48" s="57"/>
      <c r="L48" s="57"/>
      <c r="M48" s="57"/>
      <c r="N48" s="57"/>
    </row>
    <row r="49" spans="1:14" ht="45" x14ac:dyDescent="0.35">
      <c r="A49" s="106" t="s">
        <v>406</v>
      </c>
      <c r="B49" s="107">
        <v>0</v>
      </c>
      <c r="C49" s="883" t="s">
        <v>301</v>
      </c>
      <c r="D49" s="108">
        <v>0</v>
      </c>
      <c r="E49" s="57"/>
      <c r="F49" s="59"/>
      <c r="G49" s="57"/>
      <c r="H49" s="57"/>
      <c r="I49" s="57"/>
      <c r="J49" s="57"/>
      <c r="K49" s="57"/>
      <c r="L49" s="57"/>
      <c r="M49" s="57"/>
      <c r="N49" s="57"/>
    </row>
    <row r="50" spans="1:14" ht="15" x14ac:dyDescent="0.35">
      <c r="A50" s="109" t="s">
        <v>55</v>
      </c>
      <c r="B50" s="79">
        <v>0</v>
      </c>
      <c r="C50" s="57"/>
      <c r="D50" s="79">
        <v>0</v>
      </c>
      <c r="E50" s="57"/>
      <c r="F50" s="59"/>
      <c r="G50" s="57"/>
      <c r="H50" s="57"/>
      <c r="I50" s="57"/>
      <c r="J50" s="57"/>
      <c r="K50" s="57"/>
      <c r="L50" s="57"/>
      <c r="M50" s="57"/>
      <c r="N50" s="57"/>
    </row>
    <row r="51" spans="1:14" ht="15" x14ac:dyDescent="0.35">
      <c r="A51" s="101" t="s">
        <v>56</v>
      </c>
      <c r="B51" s="87">
        <v>0</v>
      </c>
      <c r="C51" s="57"/>
      <c r="D51" s="87">
        <v>0</v>
      </c>
      <c r="E51" s="57"/>
      <c r="F51" s="59"/>
      <c r="G51" s="57"/>
      <c r="H51" s="57"/>
      <c r="I51" s="57"/>
      <c r="J51" s="57"/>
      <c r="K51" s="57"/>
      <c r="L51" s="57"/>
      <c r="M51" s="57"/>
      <c r="N51" s="57"/>
    </row>
    <row r="52" spans="1:14" ht="15" x14ac:dyDescent="0.35">
      <c r="A52" s="101" t="s">
        <v>356</v>
      </c>
      <c r="B52" s="87">
        <v>0</v>
      </c>
      <c r="C52" s="57"/>
      <c r="D52" s="87">
        <v>0</v>
      </c>
      <c r="E52" s="57"/>
      <c r="F52" s="59"/>
      <c r="G52" s="57"/>
      <c r="H52" s="57"/>
      <c r="I52" s="57"/>
      <c r="J52" s="57"/>
      <c r="K52" s="57"/>
      <c r="L52" s="57"/>
      <c r="M52" s="57"/>
      <c r="N52" s="57"/>
    </row>
    <row r="53" spans="1:14" ht="15" x14ac:dyDescent="0.35">
      <c r="A53" s="101" t="s">
        <v>356</v>
      </c>
      <c r="B53" s="87">
        <v>0</v>
      </c>
      <c r="C53" s="57"/>
      <c r="D53" s="87">
        <v>0</v>
      </c>
      <c r="E53" s="57"/>
      <c r="F53" s="59"/>
      <c r="G53" s="57"/>
      <c r="H53" s="57"/>
      <c r="I53" s="57"/>
      <c r="J53" s="57"/>
      <c r="K53" s="57"/>
      <c r="L53" s="57"/>
      <c r="M53" s="57"/>
      <c r="N53" s="57"/>
    </row>
    <row r="54" spans="1:14" ht="15" x14ac:dyDescent="0.35">
      <c r="A54" s="110" t="s">
        <v>356</v>
      </c>
      <c r="B54" s="89">
        <v>0</v>
      </c>
      <c r="C54" s="57"/>
      <c r="D54" s="89">
        <v>0</v>
      </c>
      <c r="E54" s="57"/>
      <c r="F54" s="59"/>
      <c r="G54" s="57"/>
      <c r="H54" s="57"/>
      <c r="I54" s="57"/>
      <c r="J54" s="57"/>
      <c r="K54" s="57"/>
      <c r="L54" s="57"/>
      <c r="M54" s="57"/>
      <c r="N54" s="57"/>
    </row>
    <row r="55" spans="1:14" ht="15" x14ac:dyDescent="0.35">
      <c r="A55" s="58"/>
      <c r="B55" s="57"/>
      <c r="C55" s="57"/>
      <c r="D55" s="57"/>
      <c r="E55" s="57"/>
      <c r="F55" s="59"/>
      <c r="G55" s="57"/>
      <c r="H55" s="57"/>
      <c r="I55" s="57"/>
      <c r="J55" s="57"/>
      <c r="K55" s="57"/>
      <c r="L55" s="57"/>
      <c r="M55" s="57"/>
      <c r="N55" s="57"/>
    </row>
    <row r="56" spans="1:14" ht="15" x14ac:dyDescent="0.35">
      <c r="A56" s="111" t="s">
        <v>92</v>
      </c>
      <c r="B56" s="112">
        <v>0</v>
      </c>
      <c r="C56" s="113"/>
      <c r="D56" s="112">
        <v>0</v>
      </c>
      <c r="E56" s="57"/>
      <c r="F56" s="59"/>
      <c r="G56" s="57"/>
      <c r="H56" s="57"/>
      <c r="I56" s="57"/>
      <c r="J56" s="57"/>
      <c r="K56" s="57"/>
      <c r="L56" s="57"/>
      <c r="M56" s="57"/>
      <c r="N56" s="57"/>
    </row>
    <row r="57" spans="1:14" ht="15" x14ac:dyDescent="0.35">
      <c r="A57" s="58"/>
      <c r="B57" s="57"/>
      <c r="C57" s="57"/>
      <c r="D57" s="57"/>
      <c r="E57" s="57"/>
      <c r="F57" s="59"/>
      <c r="G57" s="57"/>
      <c r="H57" s="57"/>
      <c r="I57" s="57"/>
      <c r="J57" s="57"/>
      <c r="K57" s="57"/>
      <c r="L57" s="57"/>
      <c r="M57" s="57"/>
      <c r="N57" s="57"/>
    </row>
    <row r="58" spans="1:14" ht="15" x14ac:dyDescent="0.35">
      <c r="A58" s="111" t="s">
        <v>393</v>
      </c>
      <c r="B58" s="112">
        <v>0</v>
      </c>
      <c r="C58" s="113"/>
      <c r="D58" s="112">
        <v>0</v>
      </c>
      <c r="E58" s="57"/>
      <c r="F58" s="59"/>
      <c r="G58" s="57"/>
      <c r="H58" s="57"/>
      <c r="I58" s="57"/>
      <c r="J58" s="57"/>
      <c r="K58" s="57"/>
      <c r="L58" s="57"/>
      <c r="M58" s="57"/>
      <c r="N58" s="57"/>
    </row>
    <row r="59" spans="1:14" ht="15" x14ac:dyDescent="0.35">
      <c r="A59" s="58"/>
      <c r="B59" s="57"/>
      <c r="C59" s="57"/>
      <c r="D59" s="57"/>
      <c r="E59" s="57"/>
      <c r="F59" s="59"/>
      <c r="G59" s="57"/>
      <c r="H59" s="57"/>
      <c r="I59" s="57"/>
      <c r="J59" s="57"/>
      <c r="K59" s="57"/>
      <c r="L59" s="57"/>
      <c r="M59" s="57"/>
      <c r="N59" s="57"/>
    </row>
    <row r="60" spans="1:14" ht="15" x14ac:dyDescent="0.35">
      <c r="A60" s="58"/>
      <c r="B60" s="57"/>
      <c r="C60" s="57"/>
      <c r="D60" s="57"/>
      <c r="E60" s="57"/>
      <c r="F60" s="59"/>
      <c r="G60" s="57"/>
      <c r="H60" s="57"/>
      <c r="I60" s="57"/>
      <c r="J60" s="57"/>
      <c r="K60" s="57"/>
      <c r="L60" s="57"/>
      <c r="M60" s="57"/>
      <c r="N60" s="57"/>
    </row>
    <row r="61" spans="1:14" ht="15" x14ac:dyDescent="0.35">
      <c r="A61" s="58"/>
      <c r="B61" s="57"/>
      <c r="C61" s="57"/>
      <c r="D61" s="57"/>
      <c r="E61" s="57"/>
      <c r="F61" s="59"/>
      <c r="G61" s="57"/>
      <c r="H61" s="57"/>
      <c r="I61" s="57"/>
      <c r="J61" s="57"/>
      <c r="K61" s="57"/>
      <c r="L61" s="57"/>
      <c r="M61" s="57"/>
      <c r="N61" s="57"/>
    </row>
    <row r="62" spans="1:14" ht="15" x14ac:dyDescent="0.35">
      <c r="A62" s="1026" t="s">
        <v>330</v>
      </c>
      <c r="B62" s="1027"/>
      <c r="C62" s="1027"/>
      <c r="D62" s="1027"/>
      <c r="E62" s="1027"/>
      <c r="F62" s="1027"/>
      <c r="G62" s="1027"/>
      <c r="H62" s="1027"/>
      <c r="I62" s="1028"/>
      <c r="J62" s="57"/>
      <c r="K62" s="57"/>
      <c r="L62" s="57"/>
      <c r="M62" s="57"/>
      <c r="N62" s="57"/>
    </row>
    <row r="63" spans="1:14" ht="15" x14ac:dyDescent="0.35">
      <c r="A63" s="59"/>
      <c r="B63" s="57"/>
      <c r="C63" s="57"/>
      <c r="D63" s="57"/>
      <c r="E63" s="57"/>
      <c r="F63" s="57"/>
      <c r="G63" s="57"/>
      <c r="H63" s="57"/>
      <c r="I63" s="57"/>
      <c r="J63" s="57"/>
      <c r="K63" s="57"/>
      <c r="L63" s="57"/>
      <c r="M63" s="57"/>
      <c r="N63" s="57"/>
    </row>
    <row r="64" spans="1:14" ht="15" x14ac:dyDescent="0.35">
      <c r="A64" s="59"/>
      <c r="B64" s="1023" t="s">
        <v>12</v>
      </c>
      <c r="C64" s="1024"/>
      <c r="D64" s="1024"/>
      <c r="E64" s="1024"/>
      <c r="F64" s="1024"/>
      <c r="G64" s="1024"/>
      <c r="H64" s="1025"/>
      <c r="I64" s="57"/>
      <c r="J64" s="57"/>
      <c r="K64" s="57"/>
      <c r="L64" s="57"/>
      <c r="M64" s="57"/>
      <c r="N64" s="57"/>
    </row>
    <row r="65" spans="1:14" ht="45" customHeight="1" x14ac:dyDescent="0.35">
      <c r="A65" s="59"/>
      <c r="B65" s="63" t="s">
        <v>141</v>
      </c>
      <c r="C65" s="64" t="s">
        <v>350</v>
      </c>
      <c r="D65" s="63" t="s">
        <v>351</v>
      </c>
      <c r="E65" s="65" t="s">
        <v>142</v>
      </c>
      <c r="F65" s="65" t="s">
        <v>144</v>
      </c>
      <c r="G65" s="66" t="s">
        <v>143</v>
      </c>
      <c r="H65" s="65" t="s">
        <v>13</v>
      </c>
      <c r="I65" s="57"/>
      <c r="J65" s="57"/>
      <c r="K65" s="57"/>
      <c r="L65" s="57"/>
      <c r="M65" s="57"/>
      <c r="N65" s="57"/>
    </row>
    <row r="66" spans="1:14" ht="16.5" x14ac:dyDescent="0.35">
      <c r="A66" s="70" t="s">
        <v>15</v>
      </c>
      <c r="B66" s="71"/>
      <c r="C66" s="71"/>
      <c r="D66" s="805">
        <v>0.27148992518440718</v>
      </c>
      <c r="E66" s="71"/>
      <c r="F66" s="71"/>
      <c r="G66" s="805">
        <v>1.2392315125921576</v>
      </c>
      <c r="H66" s="805">
        <v>0.27148992518440718</v>
      </c>
      <c r="I66" s="57"/>
      <c r="J66" s="57"/>
      <c r="K66" s="57"/>
      <c r="L66" s="57"/>
      <c r="M66" s="57"/>
      <c r="N66" s="57"/>
    </row>
    <row r="67" spans="1:14" ht="15" x14ac:dyDescent="0.35">
      <c r="A67" s="73" t="str">
        <f>+'2-Input - IIFS Liqudity'!C91</f>
        <v>الأوراق النقدية وما يعادلها</v>
      </c>
      <c r="B67" s="74" t="s">
        <v>17</v>
      </c>
      <c r="C67" s="75">
        <v>0</v>
      </c>
      <c r="D67" s="76">
        <f t="shared" ref="D67:D75" si="0">IF(B67="No",0,1-C67)</f>
        <v>1</v>
      </c>
      <c r="E67" s="74">
        <v>0</v>
      </c>
      <c r="F67" s="75"/>
      <c r="G67" s="71">
        <f t="shared" ref="G67:G79" si="1">IF(ISNUMBER(E67),1-(F67+E67),"n.a.")</f>
        <v>1</v>
      </c>
      <c r="H67" s="77">
        <f t="shared" ref="H67:H79" si="2">IF(ISNUMBER(G67*(D67)),G67*(D67),"n.a.")</f>
        <v>1</v>
      </c>
      <c r="I67" s="57"/>
      <c r="J67" s="57"/>
      <c r="K67" s="57"/>
      <c r="L67" s="57"/>
      <c r="M67" s="57"/>
      <c r="N67" s="57"/>
    </row>
    <row r="68" spans="1:14" ht="15" x14ac:dyDescent="0.35">
      <c r="A68" s="80" t="str">
        <f>+'2-Input - IIFS Liqudity'!C92</f>
        <v>احتياطيات البنك المركزي</v>
      </c>
      <c r="B68" s="81" t="s">
        <v>17</v>
      </c>
      <c r="C68" s="82">
        <v>0</v>
      </c>
      <c r="D68" s="83">
        <f t="shared" si="0"/>
        <v>1</v>
      </c>
      <c r="E68" s="81">
        <v>0</v>
      </c>
      <c r="F68" s="82"/>
      <c r="G68" s="84">
        <f t="shared" si="1"/>
        <v>1</v>
      </c>
      <c r="H68" s="85">
        <f t="shared" si="2"/>
        <v>1</v>
      </c>
      <c r="I68" s="57"/>
      <c r="J68" s="57"/>
      <c r="K68" s="57"/>
      <c r="L68" s="57"/>
      <c r="M68" s="57"/>
      <c r="N68" s="57"/>
    </row>
    <row r="69" spans="1:14" ht="15" x14ac:dyDescent="0.35">
      <c r="A69" s="80" t="str">
        <f>+'2-Input - IIFS Liqudity'!C93</f>
        <v>الصكوك الحكومية وأدوات الخزانة وغيرها من التعرضات ذات وزن مخاطر مقداره 0٪</v>
      </c>
      <c r="B69" s="81" t="s">
        <v>17</v>
      </c>
      <c r="C69" s="82">
        <v>0.2</v>
      </c>
      <c r="D69" s="83">
        <f t="shared" si="0"/>
        <v>0.8</v>
      </c>
      <c r="E69" s="81">
        <v>0</v>
      </c>
      <c r="F69" s="82"/>
      <c r="G69" s="84">
        <f t="shared" si="1"/>
        <v>1</v>
      </c>
      <c r="H69" s="85">
        <f t="shared" si="2"/>
        <v>0.8</v>
      </c>
      <c r="I69" s="57"/>
      <c r="J69" s="57"/>
      <c r="K69" s="57"/>
      <c r="L69" s="57"/>
      <c r="M69" s="57"/>
      <c r="N69" s="57"/>
    </row>
    <row r="70" spans="1:14" ht="15" x14ac:dyDescent="0.35">
      <c r="A70" s="80" t="str">
        <f>+'2-Input - IIFS Liqudity'!C94</f>
        <v>الموجودات المالية المحتفظ بها حتى تاريخ الاستحقاق</v>
      </c>
      <c r="B70" s="81" t="s">
        <v>18</v>
      </c>
      <c r="C70" s="82">
        <v>0</v>
      </c>
      <c r="D70" s="83">
        <v>0</v>
      </c>
      <c r="E70" s="81">
        <v>0</v>
      </c>
      <c r="F70" s="82"/>
      <c r="G70" s="84">
        <f t="shared" si="1"/>
        <v>1</v>
      </c>
      <c r="H70" s="85">
        <f t="shared" si="2"/>
        <v>0</v>
      </c>
      <c r="I70" s="57"/>
      <c r="J70" s="57"/>
      <c r="K70" s="57"/>
      <c r="L70" s="57"/>
      <c r="M70" s="57"/>
      <c r="N70" s="57"/>
    </row>
    <row r="71" spans="1:14" ht="15" x14ac:dyDescent="0.35">
      <c r="A71" s="80" t="str">
        <f>+'2-Input - IIFS Liqudity'!C95</f>
        <v>الموجودات المالية المتاحة للبيع (الاستثمارات)</v>
      </c>
      <c r="B71" s="81" t="s">
        <v>17</v>
      </c>
      <c r="C71" s="82">
        <v>0.3</v>
      </c>
      <c r="D71" s="83">
        <f t="shared" si="0"/>
        <v>0.7</v>
      </c>
      <c r="E71" s="81">
        <v>0</v>
      </c>
      <c r="F71" s="82"/>
      <c r="G71" s="84">
        <f t="shared" si="1"/>
        <v>1</v>
      </c>
      <c r="H71" s="85">
        <f t="shared" si="2"/>
        <v>0.7</v>
      </c>
      <c r="I71" s="57"/>
      <c r="J71" s="57"/>
      <c r="K71" s="57"/>
      <c r="L71" s="57"/>
      <c r="M71" s="57"/>
      <c r="N71" s="57"/>
    </row>
    <row r="72" spans="1:14" ht="15" x14ac:dyDescent="0.35">
      <c r="A72" s="80" t="str">
        <f>+'2-Input - IIFS Liqudity'!C96</f>
        <v>الموجودات المالية المحتفظ بها للمتاجرة</v>
      </c>
      <c r="B72" s="81" t="s">
        <v>17</v>
      </c>
      <c r="C72" s="82">
        <v>0.4</v>
      </c>
      <c r="D72" s="83">
        <f t="shared" si="0"/>
        <v>0.6</v>
      </c>
      <c r="E72" s="81">
        <v>0</v>
      </c>
      <c r="F72" s="82"/>
      <c r="G72" s="84">
        <f t="shared" si="1"/>
        <v>1</v>
      </c>
      <c r="H72" s="85">
        <f t="shared" si="2"/>
        <v>0.6</v>
      </c>
      <c r="I72" s="57"/>
      <c r="J72" s="57"/>
      <c r="K72" s="57"/>
      <c r="L72" s="57"/>
      <c r="M72" s="57"/>
      <c r="N72" s="57"/>
    </row>
    <row r="73" spans="1:14" ht="15" x14ac:dyDescent="0.35">
      <c r="A73" s="80" t="str">
        <f>+'2-Input - IIFS Liqudity'!C97</f>
        <v>الموجودات المدعومة بموجودات</v>
      </c>
      <c r="B73" s="81" t="s">
        <v>18</v>
      </c>
      <c r="C73" s="82">
        <v>0</v>
      </c>
      <c r="D73" s="83">
        <v>0</v>
      </c>
      <c r="E73" s="81">
        <v>0</v>
      </c>
      <c r="F73" s="82"/>
      <c r="G73" s="84">
        <f t="shared" si="1"/>
        <v>1</v>
      </c>
      <c r="H73" s="85">
        <f t="shared" si="2"/>
        <v>0</v>
      </c>
      <c r="I73" s="57"/>
      <c r="J73" s="57"/>
      <c r="K73" s="57"/>
      <c r="L73" s="57"/>
      <c r="M73" s="57"/>
      <c r="N73" s="57"/>
    </row>
    <row r="74" spans="1:14" ht="15" x14ac:dyDescent="0.35">
      <c r="A74" s="80" t="str">
        <f>+'2-Input - IIFS Liqudity'!C98</f>
        <v>حقوق الملكية</v>
      </c>
      <c r="B74" s="81" t="s">
        <v>17</v>
      </c>
      <c r="C74" s="82">
        <v>0.5</v>
      </c>
      <c r="D74" s="83">
        <f t="shared" si="0"/>
        <v>0.5</v>
      </c>
      <c r="E74" s="81">
        <v>0</v>
      </c>
      <c r="F74" s="82"/>
      <c r="G74" s="84">
        <f t="shared" si="1"/>
        <v>1</v>
      </c>
      <c r="H74" s="85">
        <f t="shared" si="2"/>
        <v>0.5</v>
      </c>
      <c r="I74" s="57"/>
      <c r="J74" s="57"/>
      <c r="K74" s="57"/>
      <c r="L74" s="57"/>
      <c r="M74" s="57"/>
      <c r="N74" s="57"/>
    </row>
    <row r="75" spans="1:14" ht="15" x14ac:dyDescent="0.35">
      <c r="A75" s="80" t="str">
        <f>+'2-Input - IIFS Liqudity'!C99</f>
        <v>منتجات التحوط</v>
      </c>
      <c r="B75" s="81" t="s">
        <v>17</v>
      </c>
      <c r="C75" s="82">
        <v>0.5</v>
      </c>
      <c r="D75" s="83">
        <f t="shared" si="0"/>
        <v>0.5</v>
      </c>
      <c r="E75" s="81">
        <v>0</v>
      </c>
      <c r="F75" s="82"/>
      <c r="G75" s="84">
        <f t="shared" si="1"/>
        <v>1</v>
      </c>
      <c r="H75" s="85">
        <f t="shared" si="2"/>
        <v>0.5</v>
      </c>
      <c r="I75" s="57"/>
      <c r="J75" s="57"/>
      <c r="K75" s="57"/>
      <c r="L75" s="57"/>
      <c r="M75" s="57"/>
      <c r="N75" s="57"/>
    </row>
    <row r="76" spans="1:14" ht="15" x14ac:dyDescent="0.35">
      <c r="A76" s="80" t="str">
        <f>+'2-Input - IIFS Liqudity'!C100</f>
        <v>الموجودات الأخرى</v>
      </c>
      <c r="B76" s="81" t="s">
        <v>18</v>
      </c>
      <c r="C76" s="82">
        <v>0</v>
      </c>
      <c r="D76" s="83">
        <v>0</v>
      </c>
      <c r="E76" s="81">
        <v>0</v>
      </c>
      <c r="F76" s="82"/>
      <c r="G76" s="84">
        <f t="shared" si="1"/>
        <v>1</v>
      </c>
      <c r="H76" s="85">
        <f t="shared" si="2"/>
        <v>0</v>
      </c>
      <c r="I76" s="57"/>
      <c r="J76" s="57"/>
      <c r="K76" s="57"/>
      <c r="L76" s="57"/>
      <c r="M76" s="57"/>
      <c r="N76" s="57"/>
    </row>
    <row r="77" spans="1:14" ht="15" x14ac:dyDescent="0.35">
      <c r="A77" s="80" t="str">
        <f>+'2-Input - IIFS Liqudity'!C101</f>
        <v>التمويلات والالتزامات داخل المجموعة</v>
      </c>
      <c r="B77" s="81" t="s">
        <v>18</v>
      </c>
      <c r="C77" s="82">
        <v>0</v>
      </c>
      <c r="D77" s="83">
        <v>0</v>
      </c>
      <c r="E77" s="81">
        <v>0</v>
      </c>
      <c r="F77" s="82"/>
      <c r="G77" s="84">
        <f t="shared" si="1"/>
        <v>1</v>
      </c>
      <c r="H77" s="85">
        <f t="shared" si="2"/>
        <v>0</v>
      </c>
      <c r="I77" s="57"/>
      <c r="J77" s="57"/>
      <c r="K77" s="57"/>
      <c r="L77" s="57"/>
      <c r="M77" s="57"/>
      <c r="N77" s="57"/>
    </row>
    <row r="78" spans="1:14" ht="15" x14ac:dyDescent="0.35">
      <c r="A78" s="80" t="str">
        <f>+'2-Input - IIFS Liqudity'!C102</f>
        <v>التمويلات (العملاء/المؤسسات المالية)</v>
      </c>
      <c r="B78" s="81" t="s">
        <v>18</v>
      </c>
      <c r="C78" s="82">
        <v>0</v>
      </c>
      <c r="D78" s="83">
        <v>0</v>
      </c>
      <c r="E78" s="81">
        <v>0</v>
      </c>
      <c r="F78" s="82"/>
      <c r="G78" s="84">
        <f t="shared" si="1"/>
        <v>1</v>
      </c>
      <c r="H78" s="85">
        <f t="shared" si="2"/>
        <v>0</v>
      </c>
      <c r="I78" s="57"/>
      <c r="J78" s="57"/>
      <c r="K78" s="57"/>
      <c r="L78" s="57"/>
      <c r="M78" s="57"/>
      <c r="N78" s="57"/>
    </row>
    <row r="79" spans="1:14" ht="15" x14ac:dyDescent="0.35">
      <c r="A79" s="91" t="str">
        <f>+'2-Input - IIFS Liqudity'!C103</f>
        <v>التمويلات خارج قائمة المركز المالي</v>
      </c>
      <c r="B79" s="92" t="s">
        <v>18</v>
      </c>
      <c r="C79" s="93">
        <v>0</v>
      </c>
      <c r="D79" s="94">
        <v>0</v>
      </c>
      <c r="E79" s="92">
        <v>0</v>
      </c>
      <c r="F79" s="93"/>
      <c r="G79" s="95">
        <f t="shared" si="1"/>
        <v>1</v>
      </c>
      <c r="H79" s="96">
        <f t="shared" si="2"/>
        <v>0</v>
      </c>
      <c r="I79" s="57"/>
      <c r="J79" s="57"/>
      <c r="K79" s="57"/>
      <c r="L79" s="57"/>
      <c r="M79" s="57"/>
      <c r="N79" s="57"/>
    </row>
    <row r="80" spans="1:14" ht="15" x14ac:dyDescent="0.35">
      <c r="A80" s="58"/>
      <c r="B80" s="57"/>
      <c r="C80" s="57"/>
      <c r="D80" s="57"/>
      <c r="E80" s="57"/>
      <c r="F80" s="59"/>
      <c r="G80" s="57"/>
      <c r="H80" s="57"/>
      <c r="I80" s="57"/>
      <c r="J80" s="57"/>
      <c r="K80" s="57"/>
      <c r="L80" s="57"/>
      <c r="M80" s="57"/>
      <c r="N80" s="57"/>
    </row>
    <row r="81" spans="1:14" ht="15" x14ac:dyDescent="0.35">
      <c r="A81" s="58"/>
      <c r="B81" s="57"/>
      <c r="C81" s="57"/>
      <c r="D81" s="57"/>
      <c r="E81" s="57"/>
      <c r="F81" s="59"/>
      <c r="G81" s="57"/>
      <c r="H81" s="57"/>
      <c r="I81" s="57"/>
      <c r="J81" s="57"/>
      <c r="K81" s="57"/>
      <c r="L81" s="57"/>
      <c r="M81" s="57"/>
      <c r="N81" s="57"/>
    </row>
    <row r="82" spans="1:14" ht="15" x14ac:dyDescent="0.35">
      <c r="A82" s="58"/>
      <c r="B82" s="1023" t="s">
        <v>145</v>
      </c>
      <c r="C82" s="1024"/>
      <c r="D82" s="1024"/>
      <c r="E82" s="1024"/>
      <c r="F82" s="1024"/>
      <c r="G82" s="1024"/>
      <c r="H82" s="1025"/>
      <c r="I82" s="57"/>
      <c r="J82" s="57"/>
      <c r="K82" s="57"/>
      <c r="L82" s="57"/>
      <c r="M82" s="57"/>
      <c r="N82" s="57"/>
    </row>
    <row r="83" spans="1:14" ht="45" customHeight="1" x14ac:dyDescent="0.35">
      <c r="A83" s="58"/>
      <c r="B83" s="63" t="s">
        <v>141</v>
      </c>
      <c r="C83" s="64" t="s">
        <v>350</v>
      </c>
      <c r="D83" s="63" t="s">
        <v>351</v>
      </c>
      <c r="E83" s="65" t="s">
        <v>142</v>
      </c>
      <c r="F83" s="65" t="s">
        <v>144</v>
      </c>
      <c r="G83" s="66" t="s">
        <v>143</v>
      </c>
      <c r="H83" s="65" t="s">
        <v>13</v>
      </c>
      <c r="I83" s="57"/>
      <c r="J83" s="57"/>
      <c r="K83" s="57"/>
      <c r="L83" s="57"/>
      <c r="M83" s="57"/>
      <c r="N83" s="57"/>
    </row>
    <row r="84" spans="1:14" ht="16.5" x14ac:dyDescent="0.35">
      <c r="A84" s="70" t="s">
        <v>15</v>
      </c>
      <c r="B84" s="39"/>
      <c r="C84" s="39"/>
      <c r="D84" s="805">
        <v>0.27148992518440718</v>
      </c>
      <c r="E84" s="39"/>
      <c r="F84" s="39"/>
      <c r="G84" s="805">
        <v>1.2392315125921576</v>
      </c>
      <c r="H84" s="805">
        <v>0.27148992518440718</v>
      </c>
      <c r="I84" s="57"/>
      <c r="J84" s="57"/>
      <c r="K84" s="57"/>
      <c r="L84" s="57"/>
      <c r="M84" s="57"/>
      <c r="N84" s="57"/>
    </row>
    <row r="85" spans="1:14" ht="15" x14ac:dyDescent="0.35">
      <c r="A85" s="366" t="str">
        <f>+'2-Input - IIFS Liqudity'!C109</f>
        <v>موجودات المستوى 1</v>
      </c>
      <c r="B85" s="74" t="s">
        <v>17</v>
      </c>
      <c r="C85" s="75">
        <v>0</v>
      </c>
      <c r="D85" s="76">
        <f t="shared" ref="D85:D93" si="3">IF(B85="No",0,1-C85)</f>
        <v>1</v>
      </c>
      <c r="E85" s="74">
        <v>0</v>
      </c>
      <c r="F85" s="370"/>
      <c r="G85" s="71">
        <f t="shared" ref="G85:G97" si="4">IF(ISNUMBER(E85),1-(F85+E85),"n.a.")</f>
        <v>1</v>
      </c>
      <c r="H85" s="71">
        <f t="shared" ref="H85:H97" si="5">IF(ISNUMBER(G85*(D85)),G85*(D85),"n.a.")</f>
        <v>1</v>
      </c>
      <c r="I85" s="57"/>
      <c r="J85" s="57"/>
      <c r="K85" s="57"/>
      <c r="L85" s="57"/>
      <c r="M85" s="57"/>
      <c r="N85" s="57"/>
    </row>
    <row r="86" spans="1:14" ht="15" x14ac:dyDescent="0.35">
      <c r="A86" s="366" t="str">
        <f>+'2-Input - IIFS Liqudity'!C110</f>
        <v>موجودات المستوى 2أ</v>
      </c>
      <c r="B86" s="81" t="s">
        <v>17</v>
      </c>
      <c r="C86" s="82">
        <v>0</v>
      </c>
      <c r="D86" s="83">
        <f t="shared" si="3"/>
        <v>1</v>
      </c>
      <c r="E86" s="81">
        <v>0</v>
      </c>
      <c r="F86" s="371"/>
      <c r="G86" s="84">
        <f t="shared" si="4"/>
        <v>1</v>
      </c>
      <c r="H86" s="84">
        <f t="shared" si="5"/>
        <v>1</v>
      </c>
      <c r="I86" s="57"/>
      <c r="J86" s="57"/>
      <c r="K86" s="57"/>
      <c r="L86" s="57"/>
      <c r="M86" s="57"/>
      <c r="N86" s="57"/>
    </row>
    <row r="87" spans="1:14" ht="15" x14ac:dyDescent="0.35">
      <c r="A87" s="366" t="str">
        <f>+'2-Input - IIFS Liqudity'!C111</f>
        <v>موجودات المستوى 2ب</v>
      </c>
      <c r="B87" s="81" t="s">
        <v>17</v>
      </c>
      <c r="C87" s="82">
        <v>0.2</v>
      </c>
      <c r="D87" s="83">
        <f t="shared" si="3"/>
        <v>0.8</v>
      </c>
      <c r="E87" s="81">
        <v>0</v>
      </c>
      <c r="F87" s="371"/>
      <c r="G87" s="84">
        <f t="shared" si="4"/>
        <v>1</v>
      </c>
      <c r="H87" s="84">
        <f t="shared" si="5"/>
        <v>0.8</v>
      </c>
      <c r="I87" s="57"/>
      <c r="J87" s="57"/>
      <c r="K87" s="57"/>
      <c r="L87" s="57"/>
      <c r="M87" s="57"/>
      <c r="N87" s="57"/>
    </row>
    <row r="88" spans="1:14" ht="15" x14ac:dyDescent="0.35">
      <c r="A88" s="366" t="str">
        <f>+'2-Input - IIFS Liqudity'!C112</f>
        <v>معالجات أساليب السيولة البديلة</v>
      </c>
      <c r="B88" s="81" t="s">
        <v>18</v>
      </c>
      <c r="C88" s="82">
        <v>0</v>
      </c>
      <c r="D88" s="83">
        <v>0</v>
      </c>
      <c r="E88" s="81">
        <v>0</v>
      </c>
      <c r="F88" s="371"/>
      <c r="G88" s="84">
        <f t="shared" si="4"/>
        <v>1</v>
      </c>
      <c r="H88" s="84">
        <f t="shared" si="5"/>
        <v>0</v>
      </c>
      <c r="I88" s="57"/>
      <c r="J88" s="57"/>
      <c r="K88" s="57"/>
      <c r="L88" s="57"/>
      <c r="M88" s="57"/>
      <c r="N88" s="57"/>
    </row>
    <row r="89" spans="1:14" ht="15" x14ac:dyDescent="0.35">
      <c r="A89" s="366" t="str">
        <f>+'2-Input - IIFS Liqudity'!C113</f>
        <v>ودائع التجزئة/الحسابات الاستثمارية المطلقة القائمة على المشاركة في الأرباح المستقرة من أشخاص طبيعيين والشركات الصغيرة</v>
      </c>
      <c r="B89" s="81" t="s">
        <v>17</v>
      </c>
      <c r="C89" s="82">
        <v>0.3</v>
      </c>
      <c r="D89" s="83">
        <f t="shared" si="3"/>
        <v>0.7</v>
      </c>
      <c r="E89" s="81">
        <v>0</v>
      </c>
      <c r="F89" s="371"/>
      <c r="G89" s="84">
        <f t="shared" si="4"/>
        <v>1</v>
      </c>
      <c r="H89" s="84">
        <f t="shared" si="5"/>
        <v>0.7</v>
      </c>
      <c r="I89" s="57"/>
      <c r="J89" s="57"/>
      <c r="K89" s="57"/>
      <c r="L89" s="57"/>
      <c r="M89" s="57"/>
      <c r="N89" s="57"/>
    </row>
    <row r="90" spans="1:14" ht="15" x14ac:dyDescent="0.35">
      <c r="A90" s="366" t="str">
        <f>+'2-Input - IIFS Liqudity'!C114</f>
        <v>ودائع التجزئة/الحسابات الاستثمارية المطلقة القائمة على المشاركة في الأرباح الأقل استقرارًا من أشخاص طبيعيين والشركات الصغيرة</v>
      </c>
      <c r="B90" s="81" t="s">
        <v>17</v>
      </c>
      <c r="C90" s="82">
        <v>0.4</v>
      </c>
      <c r="D90" s="83">
        <f t="shared" si="3"/>
        <v>0.6</v>
      </c>
      <c r="E90" s="81">
        <v>0</v>
      </c>
      <c r="F90" s="371"/>
      <c r="G90" s="84">
        <f t="shared" si="4"/>
        <v>1</v>
      </c>
      <c r="H90" s="84">
        <f t="shared" si="5"/>
        <v>0.6</v>
      </c>
      <c r="I90" s="57"/>
      <c r="J90" s="57"/>
      <c r="K90" s="57"/>
      <c r="L90" s="57"/>
      <c r="M90" s="57"/>
      <c r="N90" s="57"/>
    </row>
    <row r="91" spans="1:14" ht="15" x14ac:dyDescent="0.35">
      <c r="A91" s="366" t="str">
        <f>+'2-Input - IIFS Liqudity'!C115</f>
        <v>الحسابات التشغيلية</v>
      </c>
      <c r="B91" s="81" t="s">
        <v>17</v>
      </c>
      <c r="C91" s="82">
        <v>0</v>
      </c>
      <c r="D91" s="83">
        <f t="shared" si="3"/>
        <v>1</v>
      </c>
      <c r="E91" s="81">
        <v>0</v>
      </c>
      <c r="F91" s="371"/>
      <c r="G91" s="84">
        <f t="shared" si="4"/>
        <v>1</v>
      </c>
      <c r="H91" s="84">
        <f t="shared" si="5"/>
        <v>1</v>
      </c>
      <c r="I91" s="57"/>
      <c r="J91" s="57"/>
      <c r="K91" s="57"/>
      <c r="L91" s="57"/>
      <c r="M91" s="57"/>
      <c r="N91" s="57"/>
    </row>
    <row r="92" spans="1:14" ht="15" x14ac:dyDescent="0.35">
      <c r="A92" s="366" t="str">
        <f>+'2-Input - IIFS Liqudity'!C116</f>
        <v>الحسابات التشغيلية (المغطاة بموجب نظام للتأمين على الودائع)</v>
      </c>
      <c r="B92" s="81" t="s">
        <v>17</v>
      </c>
      <c r="C92" s="82">
        <v>0.5</v>
      </c>
      <c r="D92" s="83">
        <f t="shared" si="3"/>
        <v>0.5</v>
      </c>
      <c r="E92" s="81">
        <v>0</v>
      </c>
      <c r="F92" s="371"/>
      <c r="G92" s="84">
        <f t="shared" si="4"/>
        <v>1</v>
      </c>
      <c r="H92" s="84">
        <f t="shared" si="5"/>
        <v>0.5</v>
      </c>
      <c r="I92" s="57"/>
      <c r="J92" s="57"/>
      <c r="K92" s="57"/>
      <c r="L92" s="57"/>
      <c r="M92" s="57"/>
      <c r="N92" s="57"/>
    </row>
    <row r="93" spans="1:14" ht="15" x14ac:dyDescent="0.35">
      <c r="A93" s="366" t="str">
        <f>+'2-Input - IIFS Liqudity'!C117</f>
        <v>مؤسسات الخدمات المالية الإسلامية التعاونية في شبكة مؤسساتية</v>
      </c>
      <c r="B93" s="81" t="s">
        <v>17</v>
      </c>
      <c r="C93" s="82">
        <v>0.5</v>
      </c>
      <c r="D93" s="83">
        <f t="shared" si="3"/>
        <v>0.5</v>
      </c>
      <c r="E93" s="81">
        <v>0</v>
      </c>
      <c r="F93" s="371"/>
      <c r="G93" s="84">
        <f t="shared" si="4"/>
        <v>1</v>
      </c>
      <c r="H93" s="84">
        <f t="shared" si="5"/>
        <v>0.5</v>
      </c>
      <c r="I93" s="57"/>
      <c r="J93" s="57"/>
      <c r="K93" s="57"/>
      <c r="L93" s="57"/>
      <c r="M93" s="57"/>
      <c r="N93" s="57"/>
    </row>
    <row r="94" spans="1:14" ht="15" x14ac:dyDescent="0.35">
      <c r="A94" s="366" t="str">
        <f>+'2-Input - IIFS Liqudity'!C118</f>
        <v>المؤسسات غير المالية والكيانات السيادية والبنوك المركزية ومصارف التنمية متعددة الأطراف وكيانات القطاع العام</v>
      </c>
      <c r="B94" s="81" t="s">
        <v>18</v>
      </c>
      <c r="C94" s="82">
        <v>0</v>
      </c>
      <c r="D94" s="83">
        <v>0</v>
      </c>
      <c r="E94" s="81">
        <v>0</v>
      </c>
      <c r="F94" s="371"/>
      <c r="G94" s="84">
        <f t="shared" si="4"/>
        <v>1</v>
      </c>
      <c r="H94" s="84">
        <f t="shared" si="5"/>
        <v>0</v>
      </c>
      <c r="I94" s="57"/>
      <c r="J94" s="57"/>
      <c r="K94" s="57"/>
      <c r="L94" s="57"/>
      <c r="M94" s="57"/>
      <c r="N94" s="57"/>
    </row>
    <row r="95" spans="1:14" ht="15" x14ac:dyDescent="0.35">
      <c r="A95" s="366" t="str">
        <f>+'2-Input - IIFS Liqudity'!C119</f>
        <v>المؤسسات غير المالية والكيانات السيادية والبنوك المركزية ومصارف التنمية متعددة الأطراف وكيانات القطاع العام (المغطاة بموجب نظام للتأمين على الودائع)</v>
      </c>
      <c r="B95" s="81" t="s">
        <v>18</v>
      </c>
      <c r="C95" s="82">
        <v>0</v>
      </c>
      <c r="D95" s="83">
        <v>0</v>
      </c>
      <c r="E95" s="81">
        <v>0</v>
      </c>
      <c r="F95" s="371"/>
      <c r="G95" s="84">
        <f t="shared" si="4"/>
        <v>1</v>
      </c>
      <c r="H95" s="84">
        <f t="shared" si="5"/>
        <v>0</v>
      </c>
      <c r="I95" s="57"/>
      <c r="J95" s="57"/>
      <c r="K95" s="57"/>
      <c r="L95" s="57"/>
      <c r="M95" s="57"/>
      <c r="N95" s="57"/>
    </row>
    <row r="96" spans="1:14" ht="15" x14ac:dyDescent="0.35">
      <c r="A96" s="366" t="str">
        <f>+'2-Input - IIFS Liqudity'!C120</f>
        <v>التمويل المضمون والمدعوم بموجودات من المستوى 1</v>
      </c>
      <c r="B96" s="81" t="s">
        <v>18</v>
      </c>
      <c r="C96" s="82">
        <v>0</v>
      </c>
      <c r="D96" s="83">
        <v>0</v>
      </c>
      <c r="E96" s="81">
        <v>0</v>
      </c>
      <c r="F96" s="371"/>
      <c r="G96" s="84">
        <f t="shared" si="4"/>
        <v>1</v>
      </c>
      <c r="H96" s="84">
        <f t="shared" si="5"/>
        <v>0</v>
      </c>
      <c r="I96" s="57"/>
      <c r="J96" s="57"/>
      <c r="K96" s="57"/>
      <c r="L96" s="57"/>
      <c r="M96" s="57"/>
      <c r="N96" s="57"/>
    </row>
    <row r="97" spans="1:14" ht="15" x14ac:dyDescent="0.35">
      <c r="A97" s="869" t="str">
        <f>+'2-Input - IIFS Liqudity'!C121</f>
        <v>التمويل المضمون والمدعوم بموجودات من المستوى 2</v>
      </c>
      <c r="B97" s="92" t="s">
        <v>18</v>
      </c>
      <c r="C97" s="93">
        <v>0</v>
      </c>
      <c r="D97" s="94">
        <v>0</v>
      </c>
      <c r="E97" s="92">
        <v>0</v>
      </c>
      <c r="F97" s="372"/>
      <c r="G97" s="95">
        <f t="shared" si="4"/>
        <v>1</v>
      </c>
      <c r="H97" s="95">
        <f t="shared" si="5"/>
        <v>0</v>
      </c>
      <c r="I97" s="57"/>
      <c r="J97" s="57"/>
      <c r="K97" s="57"/>
      <c r="L97" s="57"/>
      <c r="M97" s="57"/>
      <c r="N97" s="57"/>
    </row>
    <row r="98" spans="1:14" ht="15" x14ac:dyDescent="0.35">
      <c r="A98" s="58"/>
      <c r="B98" s="57"/>
      <c r="C98" s="57"/>
      <c r="D98" s="57"/>
      <c r="E98" s="57"/>
      <c r="F98" s="59"/>
      <c r="G98" s="57"/>
      <c r="H98" s="57"/>
      <c r="I98" s="57"/>
      <c r="J98" s="57"/>
      <c r="K98" s="57"/>
      <c r="L98" s="57"/>
      <c r="M98" s="57"/>
      <c r="N98" s="57"/>
    </row>
    <row r="99" spans="1:14" ht="15" x14ac:dyDescent="0.35">
      <c r="A99" s="58"/>
      <c r="B99" s="57"/>
      <c r="C99" s="57"/>
      <c r="D99" s="57"/>
      <c r="E99" s="57"/>
      <c r="F99" s="59"/>
      <c r="G99" s="57"/>
      <c r="H99" s="57"/>
      <c r="I99" s="57"/>
      <c r="J99" s="57"/>
      <c r="K99" s="57"/>
      <c r="L99" s="57"/>
      <c r="M99" s="57"/>
      <c r="N99" s="57"/>
    </row>
    <row r="100" spans="1:14" ht="15" x14ac:dyDescent="0.35">
      <c r="A100" s="1026" t="s">
        <v>146</v>
      </c>
      <c r="B100" s="1027"/>
      <c r="C100" s="1027"/>
      <c r="D100" s="1027"/>
      <c r="E100" s="1027"/>
      <c r="F100" s="1027"/>
      <c r="G100" s="1027"/>
      <c r="H100" s="1027"/>
      <c r="I100" s="1028"/>
      <c r="J100" s="57"/>
      <c r="K100" s="57"/>
      <c r="L100" s="57"/>
      <c r="M100" s="57"/>
      <c r="N100" s="57"/>
    </row>
    <row r="101" spans="1:14" ht="50.1" customHeight="1" x14ac:dyDescent="0.35">
      <c r="A101" s="1034" t="s">
        <v>458</v>
      </c>
      <c r="B101" s="1034"/>
      <c r="C101" s="1034"/>
      <c r="D101" s="1034"/>
      <c r="E101" s="1034"/>
      <c r="F101" s="1034"/>
      <c r="G101" s="1034"/>
      <c r="H101" s="1034"/>
      <c r="I101" s="1034"/>
      <c r="J101" s="57"/>
      <c r="K101" s="57"/>
      <c r="L101" s="57"/>
      <c r="M101" s="57"/>
      <c r="N101" s="57"/>
    </row>
    <row r="102" spans="1:14" ht="15" customHeight="1" x14ac:dyDescent="0.35">
      <c r="A102" s="1029" t="s">
        <v>147</v>
      </c>
      <c r="B102" s="1030"/>
      <c r="C102" s="57"/>
      <c r="D102" s="57"/>
      <c r="E102" s="57"/>
      <c r="F102" s="1035" t="s">
        <v>148</v>
      </c>
      <c r="G102" s="1035"/>
      <c r="H102" s="1035"/>
      <c r="I102" s="1035"/>
      <c r="J102" s="57"/>
      <c r="K102" s="57"/>
      <c r="L102" s="57"/>
      <c r="M102" s="57"/>
      <c r="N102" s="57"/>
    </row>
    <row r="103" spans="1:14" ht="15" customHeight="1" thickBot="1" x14ac:dyDescent="0.4">
      <c r="A103" s="114" t="s">
        <v>111</v>
      </c>
      <c r="B103" s="115"/>
      <c r="C103" s="57"/>
      <c r="D103" s="57"/>
      <c r="E103" s="57"/>
      <c r="F103" s="1015" t="s">
        <v>398</v>
      </c>
      <c r="G103" s="1015"/>
      <c r="H103" s="1015"/>
      <c r="I103" s="1015"/>
      <c r="J103" s="57"/>
      <c r="K103" s="57"/>
      <c r="L103" s="57"/>
      <c r="M103" s="57"/>
      <c r="N103" s="57"/>
    </row>
    <row r="104" spans="1:14" ht="15" customHeight="1" x14ac:dyDescent="0.35">
      <c r="A104" s="116" t="s">
        <v>108</v>
      </c>
      <c r="B104" s="117">
        <v>1</v>
      </c>
      <c r="C104" s="57"/>
      <c r="D104" s="57"/>
      <c r="E104" s="57"/>
      <c r="F104" s="1011" t="s">
        <v>322</v>
      </c>
      <c r="G104" s="1011"/>
      <c r="H104" s="1011"/>
      <c r="I104" s="1011"/>
      <c r="J104" s="57"/>
      <c r="K104" s="57"/>
      <c r="L104" s="57"/>
      <c r="M104" s="57"/>
      <c r="N104" s="57"/>
    </row>
    <row r="105" spans="1:14" ht="30" customHeight="1" x14ac:dyDescent="0.35">
      <c r="A105" s="116" t="s">
        <v>109</v>
      </c>
      <c r="B105" s="117">
        <v>1</v>
      </c>
      <c r="C105" s="57"/>
      <c r="D105" s="57"/>
      <c r="E105" s="57"/>
      <c r="F105" s="1011" t="s">
        <v>321</v>
      </c>
      <c r="G105" s="1011"/>
      <c r="H105" s="1011"/>
      <c r="I105" s="118">
        <v>0.03</v>
      </c>
      <c r="J105" s="57"/>
      <c r="K105" s="57"/>
      <c r="L105" s="57"/>
      <c r="M105" s="57"/>
      <c r="N105" s="57"/>
    </row>
    <row r="106" spans="1:14" ht="50.1" customHeight="1" x14ac:dyDescent="0.35">
      <c r="A106" s="116" t="s">
        <v>414</v>
      </c>
      <c r="B106" s="117">
        <v>1</v>
      </c>
      <c r="C106" s="57"/>
      <c r="D106" s="57"/>
      <c r="E106" s="57"/>
      <c r="F106" s="1011" t="s">
        <v>115</v>
      </c>
      <c r="G106" s="1011"/>
      <c r="H106" s="1011"/>
      <c r="I106" s="118">
        <v>0.05</v>
      </c>
      <c r="J106" s="57"/>
      <c r="K106" s="57"/>
      <c r="L106" s="57"/>
      <c r="M106" s="57"/>
      <c r="N106" s="57"/>
    </row>
    <row r="107" spans="1:14" ht="30" customHeight="1" x14ac:dyDescent="0.35">
      <c r="A107" s="116" t="s">
        <v>407</v>
      </c>
      <c r="B107" s="117">
        <v>1</v>
      </c>
      <c r="C107" s="57"/>
      <c r="D107" s="57"/>
      <c r="E107" s="57"/>
      <c r="F107" s="1011" t="s">
        <v>323</v>
      </c>
      <c r="G107" s="1011"/>
      <c r="H107" s="1011"/>
      <c r="I107" s="118">
        <v>0.1</v>
      </c>
      <c r="J107" s="57"/>
      <c r="K107" s="57"/>
      <c r="L107" s="57"/>
      <c r="M107" s="57"/>
      <c r="N107" s="57"/>
    </row>
    <row r="108" spans="1:14" ht="30" customHeight="1" x14ac:dyDescent="0.35">
      <c r="A108" s="116" t="s">
        <v>415</v>
      </c>
      <c r="B108" s="117">
        <v>1</v>
      </c>
      <c r="C108" s="57"/>
      <c r="D108" s="57"/>
      <c r="E108" s="57"/>
      <c r="F108" s="1011" t="s">
        <v>399</v>
      </c>
      <c r="G108" s="1011"/>
      <c r="H108" s="1011"/>
      <c r="I108" s="118">
        <v>0</v>
      </c>
      <c r="J108" s="57"/>
      <c r="K108" s="57"/>
      <c r="L108" s="57"/>
      <c r="M108" s="57"/>
      <c r="N108" s="57"/>
    </row>
    <row r="109" spans="1:14" ht="15" customHeight="1" thickBot="1" x14ac:dyDescent="0.4">
      <c r="A109" s="114" t="s">
        <v>110</v>
      </c>
      <c r="B109" s="115"/>
      <c r="C109" s="57"/>
      <c r="D109" s="57"/>
      <c r="E109" s="57"/>
      <c r="F109" s="1015" t="s">
        <v>116</v>
      </c>
      <c r="G109" s="1015"/>
      <c r="H109" s="1015"/>
      <c r="I109" s="1015"/>
      <c r="J109" s="57"/>
      <c r="K109" s="57"/>
      <c r="L109" s="57"/>
      <c r="M109" s="57"/>
      <c r="N109" s="57"/>
    </row>
    <row r="110" spans="1:14" ht="30" customHeight="1" thickBot="1" x14ac:dyDescent="0.4">
      <c r="A110" s="119" t="s">
        <v>112</v>
      </c>
      <c r="B110" s="120"/>
      <c r="C110" s="57"/>
      <c r="D110" s="57"/>
      <c r="E110" s="57"/>
      <c r="F110" s="1011" t="s">
        <v>418</v>
      </c>
      <c r="G110" s="1011"/>
      <c r="H110" s="1011"/>
      <c r="I110" s="1011"/>
      <c r="J110" s="57"/>
      <c r="K110" s="57"/>
      <c r="L110" s="57"/>
      <c r="M110" s="57"/>
      <c r="N110" s="57"/>
    </row>
    <row r="111" spans="1:14" ht="50.1" customHeight="1" x14ac:dyDescent="0.35">
      <c r="A111" s="121" t="s">
        <v>416</v>
      </c>
      <c r="B111" s="117">
        <v>0.85</v>
      </c>
      <c r="C111" s="57"/>
      <c r="D111" s="57"/>
      <c r="E111" s="57"/>
      <c r="F111" s="1011" t="s">
        <v>149</v>
      </c>
      <c r="G111" s="1011"/>
      <c r="H111" s="1011"/>
      <c r="I111" s="118">
        <v>0.05</v>
      </c>
      <c r="J111" s="57"/>
      <c r="K111" s="57"/>
      <c r="L111" s="57"/>
      <c r="M111" s="57"/>
      <c r="N111" s="57"/>
    </row>
    <row r="112" spans="1:14" ht="15" customHeight="1" x14ac:dyDescent="0.35">
      <c r="A112" s="116" t="s">
        <v>310</v>
      </c>
      <c r="B112" s="117">
        <v>0.85</v>
      </c>
      <c r="C112" s="57"/>
      <c r="D112" s="57"/>
      <c r="E112" s="57"/>
      <c r="F112" s="1011" t="s">
        <v>324</v>
      </c>
      <c r="G112" s="1011"/>
      <c r="H112" s="1011"/>
      <c r="I112" s="118">
        <v>0.1</v>
      </c>
      <c r="J112" s="57"/>
      <c r="K112" s="57"/>
      <c r="L112" s="57"/>
      <c r="M112" s="57"/>
      <c r="N112" s="57"/>
    </row>
    <row r="113" spans="1:14" ht="15" customHeight="1" thickBot="1" x14ac:dyDescent="0.4">
      <c r="A113" s="119" t="s">
        <v>113</v>
      </c>
      <c r="B113" s="115"/>
      <c r="C113" s="57"/>
      <c r="D113" s="57"/>
      <c r="E113" s="57"/>
      <c r="F113" s="1011" t="s">
        <v>117</v>
      </c>
      <c r="G113" s="1011"/>
      <c r="H113" s="1011"/>
      <c r="I113" s="118">
        <v>0.25</v>
      </c>
      <c r="J113" s="57"/>
      <c r="K113" s="57"/>
      <c r="L113" s="57"/>
      <c r="M113" s="57"/>
      <c r="N113" s="57"/>
    </row>
    <row r="114" spans="1:14" ht="15" customHeight="1" x14ac:dyDescent="0.35">
      <c r="A114" s="121" t="s">
        <v>417</v>
      </c>
      <c r="B114" s="117">
        <v>0.75</v>
      </c>
      <c r="C114" s="57"/>
      <c r="D114" s="57"/>
      <c r="E114" s="57"/>
      <c r="F114" s="1011" t="s">
        <v>118</v>
      </c>
      <c r="G114" s="1011"/>
      <c r="H114" s="1011"/>
      <c r="I114" s="118">
        <v>0.05</v>
      </c>
      <c r="J114" s="57"/>
      <c r="K114" s="57"/>
      <c r="L114" s="57"/>
      <c r="M114" s="57"/>
      <c r="N114" s="57"/>
    </row>
    <row r="115" spans="1:14" ht="30" customHeight="1" x14ac:dyDescent="0.35">
      <c r="A115" s="121" t="s">
        <v>308</v>
      </c>
      <c r="B115" s="117">
        <v>0.5</v>
      </c>
      <c r="C115" s="57"/>
      <c r="D115" s="57"/>
      <c r="E115" s="57"/>
      <c r="F115" s="1016" t="s">
        <v>150</v>
      </c>
      <c r="G115" s="1016"/>
      <c r="H115" s="1016"/>
      <c r="I115" s="118">
        <v>0.25</v>
      </c>
      <c r="J115" s="57"/>
      <c r="K115" s="57"/>
      <c r="L115" s="57"/>
      <c r="M115" s="57"/>
      <c r="N115" s="57"/>
    </row>
    <row r="116" spans="1:14" ht="30" customHeight="1" x14ac:dyDescent="0.35">
      <c r="A116" s="121" t="s">
        <v>309</v>
      </c>
      <c r="B116" s="117">
        <v>0.5</v>
      </c>
      <c r="C116" s="57"/>
      <c r="D116" s="57"/>
      <c r="E116" s="57"/>
      <c r="F116" s="1011" t="s">
        <v>120</v>
      </c>
      <c r="G116" s="1011"/>
      <c r="H116" s="1011"/>
      <c r="I116" s="118">
        <v>0.4</v>
      </c>
      <c r="J116" s="57"/>
      <c r="K116" s="57"/>
      <c r="L116" s="57"/>
      <c r="M116" s="57"/>
      <c r="N116" s="57"/>
    </row>
    <row r="117" spans="1:14" ht="15" customHeight="1" x14ac:dyDescent="0.35">
      <c r="A117" s="58"/>
      <c r="B117" s="57"/>
      <c r="C117" s="57"/>
      <c r="D117" s="57"/>
      <c r="E117" s="57"/>
      <c r="F117" s="1011" t="s">
        <v>121</v>
      </c>
      <c r="G117" s="1011"/>
      <c r="H117" s="1011"/>
      <c r="I117" s="118">
        <v>0.2</v>
      </c>
      <c r="J117" s="57"/>
      <c r="K117" s="57"/>
      <c r="L117" s="57"/>
      <c r="M117" s="57"/>
      <c r="N117" s="57"/>
    </row>
    <row r="118" spans="1:14" ht="15" customHeight="1" x14ac:dyDescent="0.35">
      <c r="A118" s="58"/>
      <c r="B118" s="57"/>
      <c r="C118" s="57"/>
      <c r="D118" s="57"/>
      <c r="E118" s="57"/>
      <c r="F118" s="1011" t="s">
        <v>122</v>
      </c>
      <c r="G118" s="1011"/>
      <c r="H118" s="1011"/>
      <c r="I118" s="118">
        <v>1</v>
      </c>
      <c r="J118" s="57"/>
      <c r="K118" s="57"/>
      <c r="L118" s="57"/>
      <c r="M118" s="57"/>
      <c r="N118" s="57"/>
    </row>
    <row r="119" spans="1:14" ht="15" customHeight="1" x14ac:dyDescent="0.35">
      <c r="A119" s="58"/>
      <c r="B119" s="57"/>
      <c r="C119" s="57"/>
      <c r="D119" s="57"/>
      <c r="E119" s="57"/>
      <c r="F119" s="1015" t="s">
        <v>23</v>
      </c>
      <c r="G119" s="1015"/>
      <c r="H119" s="1015"/>
      <c r="I119" s="1015"/>
      <c r="J119" s="57"/>
      <c r="K119" s="57"/>
      <c r="L119" s="57"/>
      <c r="M119" s="57"/>
      <c r="N119" s="57"/>
    </row>
    <row r="120" spans="1:14" ht="30" customHeight="1" x14ac:dyDescent="0.35">
      <c r="A120" s="58"/>
      <c r="B120" s="57"/>
      <c r="C120" s="57"/>
      <c r="D120" s="57"/>
      <c r="E120" s="57"/>
      <c r="F120" s="1011" t="s">
        <v>419</v>
      </c>
      <c r="G120" s="1011"/>
      <c r="H120" s="1011"/>
      <c r="I120" s="377">
        <v>0</v>
      </c>
      <c r="J120" s="57"/>
      <c r="K120" s="57"/>
      <c r="L120" s="57"/>
      <c r="M120" s="57"/>
      <c r="N120" s="57"/>
    </row>
    <row r="121" spans="1:14" ht="15" customHeight="1" x14ac:dyDescent="0.35">
      <c r="A121" s="58"/>
      <c r="B121" s="57"/>
      <c r="C121" s="57"/>
      <c r="D121" s="57"/>
      <c r="E121" s="57"/>
      <c r="F121" s="1011" t="s">
        <v>420</v>
      </c>
      <c r="G121" s="1011"/>
      <c r="H121" s="1011"/>
      <c r="I121" s="118">
        <v>0.15</v>
      </c>
      <c r="J121" s="57"/>
      <c r="K121" s="57"/>
      <c r="L121" s="57"/>
      <c r="M121" s="57"/>
      <c r="N121" s="57"/>
    </row>
    <row r="122" spans="1:14" ht="45" customHeight="1" x14ac:dyDescent="0.35">
      <c r="A122" s="58"/>
      <c r="B122" s="57"/>
      <c r="C122" s="57"/>
      <c r="D122" s="57"/>
      <c r="E122" s="57"/>
      <c r="F122" s="1011" t="s">
        <v>421</v>
      </c>
      <c r="G122" s="1011"/>
      <c r="H122" s="1011"/>
      <c r="I122" s="118">
        <v>0.25</v>
      </c>
      <c r="J122" s="57"/>
      <c r="K122" s="57"/>
      <c r="L122" s="57"/>
      <c r="M122" s="57"/>
      <c r="N122" s="57"/>
    </row>
    <row r="123" spans="1:14" ht="30" customHeight="1" x14ac:dyDescent="0.35">
      <c r="A123" s="58"/>
      <c r="B123" s="57"/>
      <c r="C123" s="57"/>
      <c r="D123" s="57"/>
      <c r="E123" s="57"/>
      <c r="F123" s="1011" t="s">
        <v>422</v>
      </c>
      <c r="G123" s="1011"/>
      <c r="H123" s="1011"/>
      <c r="I123" s="377">
        <v>0.25</v>
      </c>
      <c r="J123" s="57"/>
      <c r="K123" s="57"/>
      <c r="L123" s="57"/>
      <c r="M123" s="57"/>
      <c r="N123" s="57"/>
    </row>
    <row r="124" spans="1:14" ht="15" customHeight="1" x14ac:dyDescent="0.35">
      <c r="A124" s="58"/>
      <c r="B124" s="57"/>
      <c r="C124" s="57"/>
      <c r="D124" s="57"/>
      <c r="E124" s="57"/>
      <c r="F124" s="1011" t="s">
        <v>413</v>
      </c>
      <c r="G124" s="1011"/>
      <c r="H124" s="1011"/>
      <c r="I124" s="118">
        <v>0.5</v>
      </c>
      <c r="J124" s="57"/>
      <c r="K124" s="57"/>
      <c r="L124" s="57"/>
      <c r="M124" s="57"/>
      <c r="N124" s="57"/>
    </row>
    <row r="125" spans="1:14" ht="15" customHeight="1" x14ac:dyDescent="0.35">
      <c r="A125" s="58"/>
      <c r="B125" s="57"/>
      <c r="C125" s="57"/>
      <c r="D125" s="57"/>
      <c r="E125" s="57"/>
      <c r="F125" s="1011" t="s">
        <v>123</v>
      </c>
      <c r="G125" s="1011"/>
      <c r="H125" s="1011"/>
      <c r="I125" s="118">
        <v>1</v>
      </c>
      <c r="J125" s="57"/>
      <c r="K125" s="57"/>
      <c r="L125" s="57"/>
      <c r="M125" s="57"/>
      <c r="N125" s="57"/>
    </row>
    <row r="126" spans="1:14" ht="15" customHeight="1" x14ac:dyDescent="0.35">
      <c r="A126" s="58"/>
      <c r="B126" s="57"/>
      <c r="C126" s="57"/>
      <c r="D126" s="57"/>
      <c r="E126" s="57"/>
      <c r="F126" s="1012" t="s">
        <v>63</v>
      </c>
      <c r="G126" s="1013"/>
      <c r="H126" s="1013"/>
      <c r="I126" s="1014"/>
      <c r="J126" s="57"/>
      <c r="K126" s="57"/>
      <c r="L126" s="57"/>
      <c r="M126" s="57"/>
      <c r="N126" s="57"/>
    </row>
    <row r="127" spans="1:14" ht="15" customHeight="1" x14ac:dyDescent="0.35">
      <c r="A127" s="58"/>
      <c r="B127" s="57"/>
      <c r="C127" s="57"/>
      <c r="D127" s="57"/>
      <c r="E127" s="57"/>
      <c r="F127" s="1011" t="s">
        <v>329</v>
      </c>
      <c r="G127" s="1011"/>
      <c r="H127" s="1011"/>
      <c r="I127" s="118">
        <v>1</v>
      </c>
      <c r="J127" s="57"/>
      <c r="K127" s="57"/>
      <c r="L127" s="57"/>
      <c r="M127" s="57"/>
      <c r="N127" s="57"/>
    </row>
    <row r="128" spans="1:14" ht="30" customHeight="1" x14ac:dyDescent="0.35">
      <c r="A128" s="58"/>
      <c r="B128" s="57"/>
      <c r="C128" s="57"/>
      <c r="D128" s="57"/>
      <c r="E128" s="57"/>
      <c r="F128" s="1011" t="s">
        <v>376</v>
      </c>
      <c r="G128" s="1011"/>
      <c r="H128" s="1011"/>
      <c r="I128" s="118">
        <v>0.5</v>
      </c>
      <c r="J128" s="57"/>
      <c r="K128" s="57"/>
      <c r="L128" s="57"/>
      <c r="M128" s="57"/>
      <c r="N128" s="57"/>
    </row>
    <row r="129" spans="1:14" ht="30" customHeight="1" x14ac:dyDescent="0.35">
      <c r="A129" s="58"/>
      <c r="B129" s="57"/>
      <c r="C129" s="57"/>
      <c r="D129" s="57"/>
      <c r="E129" s="57"/>
      <c r="F129" s="1011" t="s">
        <v>377</v>
      </c>
      <c r="G129" s="1011"/>
      <c r="H129" s="1011"/>
      <c r="I129" s="118">
        <v>0.1</v>
      </c>
      <c r="J129" s="57"/>
      <c r="K129" s="57"/>
      <c r="L129" s="57"/>
      <c r="M129" s="57"/>
      <c r="N129" s="57"/>
    </row>
    <row r="130" spans="1:14" ht="15" customHeight="1" x14ac:dyDescent="0.35">
      <c r="A130" s="58"/>
      <c r="B130" s="57"/>
      <c r="C130" s="57"/>
      <c r="D130" s="57"/>
      <c r="E130" s="57"/>
      <c r="F130" s="1011" t="s">
        <v>378</v>
      </c>
      <c r="G130" s="1011"/>
      <c r="H130" s="1011"/>
      <c r="I130" s="118">
        <v>1</v>
      </c>
      <c r="J130" s="57"/>
      <c r="K130" s="57"/>
      <c r="L130" s="57"/>
      <c r="M130" s="57"/>
      <c r="N130" s="57"/>
    </row>
    <row r="131" spans="1:14" ht="15" customHeight="1" x14ac:dyDescent="0.35">
      <c r="A131" s="58"/>
      <c r="B131" s="57"/>
      <c r="C131" s="57"/>
      <c r="D131" s="57"/>
      <c r="E131" s="57"/>
      <c r="F131" s="1011" t="s">
        <v>124</v>
      </c>
      <c r="G131" s="1011"/>
      <c r="H131" s="1011"/>
      <c r="I131" s="118">
        <v>0</v>
      </c>
      <c r="J131" s="57"/>
      <c r="K131" s="57"/>
      <c r="L131" s="57"/>
      <c r="M131" s="57"/>
      <c r="N131" s="57"/>
    </row>
    <row r="132" spans="1:14" ht="15" customHeight="1" x14ac:dyDescent="0.35">
      <c r="A132" s="58"/>
      <c r="B132" s="57"/>
      <c r="C132" s="57"/>
      <c r="D132" s="57"/>
      <c r="E132" s="57"/>
      <c r="F132" s="1011" t="s">
        <v>125</v>
      </c>
      <c r="G132" s="1011"/>
      <c r="H132" s="1011"/>
      <c r="I132" s="118">
        <v>1</v>
      </c>
      <c r="J132" s="57"/>
      <c r="K132" s="57"/>
      <c r="L132" s="57"/>
      <c r="M132" s="57"/>
      <c r="N132" s="57"/>
    </row>
    <row r="133" spans="1:14" ht="15" customHeight="1" x14ac:dyDescent="0.35">
      <c r="A133" s="58"/>
      <c r="B133" s="57"/>
      <c r="C133" s="57"/>
      <c r="D133" s="57"/>
      <c r="E133" s="57"/>
      <c r="F133" s="1011" t="s">
        <v>126</v>
      </c>
      <c r="G133" s="1011"/>
      <c r="H133" s="1011"/>
      <c r="I133" s="118">
        <v>1</v>
      </c>
      <c r="J133" s="57"/>
      <c r="K133" s="57"/>
      <c r="L133" s="57"/>
      <c r="M133" s="57"/>
      <c r="N133" s="57"/>
    </row>
    <row r="134" spans="1:14" ht="15" customHeight="1" x14ac:dyDescent="0.35">
      <c r="A134" s="58"/>
      <c r="B134" s="57"/>
      <c r="C134" s="57"/>
      <c r="D134" s="57"/>
      <c r="E134" s="57"/>
      <c r="F134" s="1011" t="s">
        <v>101</v>
      </c>
      <c r="G134" s="1011"/>
      <c r="H134" s="1011"/>
      <c r="I134" s="118">
        <v>0</v>
      </c>
      <c r="J134" s="57"/>
      <c r="K134" s="57"/>
      <c r="L134" s="57"/>
      <c r="M134" s="57"/>
      <c r="N134" s="57"/>
    </row>
    <row r="135" spans="1:14" ht="15" customHeight="1" x14ac:dyDescent="0.35">
      <c r="A135" s="58"/>
      <c r="B135" s="57"/>
      <c r="C135" s="57"/>
      <c r="D135" s="57"/>
      <c r="E135" s="57"/>
      <c r="F135" s="1011" t="s">
        <v>102</v>
      </c>
      <c r="G135" s="1011"/>
      <c r="H135" s="1011"/>
      <c r="I135" s="118">
        <v>0.15</v>
      </c>
      <c r="J135" s="57"/>
      <c r="K135" s="57"/>
      <c r="L135" s="57"/>
      <c r="M135" s="57"/>
      <c r="N135" s="57"/>
    </row>
    <row r="136" spans="1:14" ht="15" customHeight="1" x14ac:dyDescent="0.35">
      <c r="A136" s="58"/>
      <c r="B136" s="57"/>
      <c r="C136" s="57"/>
      <c r="D136" s="57"/>
      <c r="E136" s="57"/>
      <c r="F136" s="1011" t="s">
        <v>103</v>
      </c>
      <c r="G136" s="1011"/>
      <c r="H136" s="1011"/>
      <c r="I136" s="118">
        <v>0.25</v>
      </c>
      <c r="J136" s="57"/>
      <c r="K136" s="57"/>
      <c r="L136" s="57"/>
      <c r="M136" s="57"/>
      <c r="N136" s="57"/>
    </row>
    <row r="137" spans="1:14" ht="15" customHeight="1" x14ac:dyDescent="0.35">
      <c r="A137" s="58"/>
      <c r="B137" s="57"/>
      <c r="C137" s="57"/>
      <c r="D137" s="57"/>
      <c r="E137" s="57"/>
      <c r="F137" s="1011" t="s">
        <v>104</v>
      </c>
      <c r="G137" s="1011"/>
      <c r="H137" s="1011"/>
      <c r="I137" s="118"/>
      <c r="J137" s="57"/>
      <c r="K137" s="57"/>
      <c r="L137" s="57"/>
      <c r="M137" s="57"/>
      <c r="N137" s="57"/>
    </row>
    <row r="138" spans="1:14" ht="30" customHeight="1" x14ac:dyDescent="0.35">
      <c r="A138" s="58"/>
      <c r="B138" s="57"/>
      <c r="C138" s="57"/>
      <c r="D138" s="57"/>
      <c r="E138" s="57"/>
      <c r="F138" s="1011" t="s">
        <v>379</v>
      </c>
      <c r="G138" s="1011"/>
      <c r="H138" s="1011"/>
      <c r="I138" s="118"/>
      <c r="J138" s="57"/>
      <c r="K138" s="57"/>
      <c r="L138" s="57"/>
      <c r="M138" s="57"/>
      <c r="N138" s="57"/>
    </row>
    <row r="139" spans="1:14" ht="15" customHeight="1" x14ac:dyDescent="0.35">
      <c r="A139" s="58"/>
      <c r="B139" s="57"/>
      <c r="C139" s="57"/>
      <c r="D139" s="57"/>
      <c r="E139" s="57"/>
      <c r="F139" s="1011" t="s">
        <v>105</v>
      </c>
      <c r="G139" s="1011"/>
      <c r="H139" s="1011"/>
      <c r="I139" s="118"/>
      <c r="J139" s="57"/>
      <c r="K139" s="57"/>
      <c r="L139" s="57"/>
      <c r="M139" s="57"/>
      <c r="N139" s="57"/>
    </row>
    <row r="140" spans="1:14" ht="15" customHeight="1" x14ac:dyDescent="0.35">
      <c r="A140" s="58"/>
      <c r="B140" s="57"/>
      <c r="C140" s="57"/>
      <c r="D140" s="57"/>
      <c r="E140" s="57"/>
      <c r="F140" s="1011" t="s">
        <v>151</v>
      </c>
      <c r="G140" s="1011"/>
      <c r="H140" s="1011"/>
      <c r="I140" s="118">
        <v>0.8</v>
      </c>
      <c r="J140" s="57"/>
      <c r="K140" s="57"/>
      <c r="L140" s="57"/>
      <c r="M140" s="57"/>
      <c r="N140" s="57"/>
    </row>
    <row r="141" spans="1:14" ht="15" x14ac:dyDescent="0.35">
      <c r="A141" s="58"/>
      <c r="B141" s="57"/>
      <c r="C141" s="57"/>
      <c r="D141" s="57"/>
      <c r="E141" s="57"/>
      <c r="F141" s="59"/>
      <c r="G141" s="57"/>
      <c r="H141" s="57"/>
      <c r="I141" s="57"/>
      <c r="J141" s="57"/>
      <c r="K141" s="57"/>
      <c r="L141" s="57"/>
      <c r="M141" s="57"/>
      <c r="N141" s="57"/>
    </row>
    <row r="142" spans="1:14" ht="15" x14ac:dyDescent="0.35">
      <c r="A142" s="58"/>
      <c r="B142" s="57"/>
      <c r="C142" s="57"/>
      <c r="D142" s="57"/>
      <c r="E142" s="57"/>
      <c r="F142" s="59"/>
      <c r="G142" s="57"/>
      <c r="H142" s="57"/>
      <c r="I142" s="57"/>
      <c r="J142" s="57"/>
      <c r="K142" s="57"/>
      <c r="L142" s="57"/>
      <c r="M142" s="57"/>
      <c r="N142" s="57"/>
    </row>
    <row r="143" spans="1:14" ht="15" customHeight="1" x14ac:dyDescent="0.35">
      <c r="A143" s="1031" t="s">
        <v>24</v>
      </c>
      <c r="B143" s="1032"/>
      <c r="C143" s="1032"/>
      <c r="D143" s="1032"/>
      <c r="E143" s="1032"/>
      <c r="F143" s="1032"/>
      <c r="G143" s="1032"/>
      <c r="H143" s="1032"/>
      <c r="I143" s="1033"/>
      <c r="J143" s="122"/>
      <c r="K143"/>
      <c r="L143"/>
      <c r="M143"/>
      <c r="N143"/>
    </row>
    <row r="144" spans="1:14" ht="15" x14ac:dyDescent="0.35">
      <c r="A144" s="58"/>
      <c r="B144" s="57"/>
      <c r="C144" s="57"/>
      <c r="D144" s="57"/>
      <c r="E144" s="57"/>
      <c r="F144" s="59"/>
      <c r="G144" s="57"/>
      <c r="H144" s="57"/>
      <c r="I144" s="57"/>
      <c r="J144" s="57"/>
      <c r="K144" s="57"/>
      <c r="L144" s="57"/>
      <c r="M144" s="57"/>
      <c r="N144" s="57"/>
    </row>
    <row r="145" spans="1:14" ht="15" customHeight="1" x14ac:dyDescent="0.35">
      <c r="A145" s="1029" t="s">
        <v>25</v>
      </c>
      <c r="B145" s="1030"/>
      <c r="C145" s="57"/>
      <c r="D145" s="57"/>
      <c r="E145" s="57"/>
      <c r="G145" s="1029" t="s">
        <v>26</v>
      </c>
      <c r="H145" s="1039"/>
      <c r="I145" s="378"/>
      <c r="J145" s="57"/>
      <c r="K145" s="57"/>
      <c r="L145" s="57"/>
      <c r="M145" s="57"/>
      <c r="N145" s="57"/>
    </row>
    <row r="146" spans="1:14" ht="75" customHeight="1" x14ac:dyDescent="0.35">
      <c r="A146" s="116" t="s">
        <v>433</v>
      </c>
      <c r="B146" s="123">
        <v>1</v>
      </c>
      <c r="C146" s="57"/>
      <c r="D146" s="57"/>
      <c r="E146" s="57"/>
      <c r="G146" s="1011" t="s">
        <v>424</v>
      </c>
      <c r="H146" s="1011"/>
      <c r="I146" s="123">
        <v>0</v>
      </c>
      <c r="J146" s="57"/>
      <c r="K146" s="57"/>
      <c r="L146" s="57"/>
      <c r="M146" s="57"/>
      <c r="N146" s="57"/>
    </row>
    <row r="147" spans="1:14" ht="45" customHeight="1" x14ac:dyDescent="0.35">
      <c r="A147" s="116" t="s">
        <v>400</v>
      </c>
      <c r="B147" s="123">
        <v>0.95</v>
      </c>
      <c r="C147" s="57"/>
      <c r="D147" s="57"/>
      <c r="E147" s="57"/>
      <c r="G147" s="1011" t="s">
        <v>425</v>
      </c>
      <c r="H147" s="1011"/>
      <c r="I147" s="123">
        <v>0.05</v>
      </c>
      <c r="J147" s="57"/>
      <c r="K147" s="57"/>
      <c r="L147" s="57"/>
      <c r="M147" s="57"/>
      <c r="N147" s="57"/>
    </row>
    <row r="148" spans="1:14" ht="60" customHeight="1" x14ac:dyDescent="0.35">
      <c r="A148" s="116" t="s">
        <v>401</v>
      </c>
      <c r="B148" s="123">
        <v>0.9</v>
      </c>
      <c r="C148" s="57"/>
      <c r="D148" s="57"/>
      <c r="E148" s="57"/>
      <c r="G148" s="1011" t="s">
        <v>426</v>
      </c>
      <c r="H148" s="1011"/>
      <c r="I148" s="123">
        <v>0.1</v>
      </c>
      <c r="J148" s="57"/>
      <c r="K148" s="57"/>
      <c r="L148" s="57"/>
      <c r="M148" s="57"/>
      <c r="N148" s="57"/>
    </row>
    <row r="149" spans="1:14" ht="60" customHeight="1" x14ac:dyDescent="0.35">
      <c r="A149" s="116" t="s">
        <v>443</v>
      </c>
      <c r="B149" s="123">
        <v>0.5</v>
      </c>
      <c r="C149" s="57"/>
      <c r="D149" s="57"/>
      <c r="E149" s="57"/>
      <c r="G149" s="1011" t="s">
        <v>383</v>
      </c>
      <c r="H149" s="1011"/>
      <c r="I149" s="123">
        <v>0.15</v>
      </c>
      <c r="J149" s="57"/>
      <c r="K149" s="57"/>
      <c r="L149" s="57"/>
      <c r="M149" s="57"/>
      <c r="N149" s="57"/>
    </row>
    <row r="150" spans="1:14" ht="180" customHeight="1" x14ac:dyDescent="0.35">
      <c r="A150" s="116" t="s">
        <v>423</v>
      </c>
      <c r="B150" s="123">
        <v>0</v>
      </c>
      <c r="C150" s="57"/>
      <c r="D150" s="57"/>
      <c r="E150" s="57"/>
      <c r="G150" s="1011" t="s">
        <v>427</v>
      </c>
      <c r="H150" s="1011"/>
      <c r="I150" s="123">
        <v>0.5</v>
      </c>
      <c r="J150" s="57"/>
      <c r="K150" s="57"/>
      <c r="L150" s="57"/>
      <c r="M150" s="57"/>
      <c r="N150" s="57"/>
    </row>
    <row r="151" spans="1:14" ht="120" customHeight="1" x14ac:dyDescent="0.35">
      <c r="A151" s="58"/>
      <c r="B151" s="57"/>
      <c r="C151" s="57"/>
      <c r="D151" s="57"/>
      <c r="E151" s="57"/>
      <c r="G151" s="1011" t="s">
        <v>385</v>
      </c>
      <c r="H151" s="1011"/>
      <c r="I151" s="123">
        <v>0.65</v>
      </c>
      <c r="J151" s="57"/>
      <c r="K151" s="57"/>
      <c r="L151" s="57"/>
      <c r="M151" s="57"/>
      <c r="N151" s="57"/>
    </row>
    <row r="152" spans="1:14" ht="180" customHeight="1" x14ac:dyDescent="0.35">
      <c r="A152" s="58"/>
      <c r="B152" s="57"/>
      <c r="C152" s="57"/>
      <c r="D152" s="57"/>
      <c r="E152" s="57"/>
      <c r="G152" s="1038" t="s">
        <v>386</v>
      </c>
      <c r="H152" s="1011"/>
      <c r="I152" s="123">
        <v>0.85</v>
      </c>
      <c r="J152" s="57"/>
      <c r="K152" s="57"/>
      <c r="L152" s="57"/>
      <c r="M152" s="57"/>
      <c r="N152" s="57"/>
    </row>
    <row r="153" spans="1:14" ht="129.94999999999999" customHeight="1" x14ac:dyDescent="0.35">
      <c r="A153" s="58"/>
      <c r="B153" s="57"/>
      <c r="C153" s="57"/>
      <c r="D153" s="57"/>
      <c r="E153" s="57"/>
      <c r="G153" s="1011" t="s">
        <v>435</v>
      </c>
      <c r="H153" s="1011"/>
      <c r="I153" s="123">
        <v>1</v>
      </c>
      <c r="J153" s="57"/>
      <c r="K153" s="57"/>
      <c r="L153" s="57"/>
      <c r="M153" s="57"/>
      <c r="N153" s="57"/>
    </row>
    <row r="154" spans="1:14" ht="15" x14ac:dyDescent="0.35">
      <c r="A154" s="58"/>
      <c r="B154" s="57"/>
      <c r="C154" s="57"/>
      <c r="D154" s="57"/>
      <c r="E154" s="57"/>
      <c r="F154" s="59"/>
      <c r="G154" s="57"/>
      <c r="H154" s="57"/>
      <c r="I154" s="57"/>
      <c r="J154" s="57"/>
      <c r="K154" s="57"/>
      <c r="L154" s="57"/>
      <c r="M154" s="57"/>
      <c r="N154" s="57"/>
    </row>
    <row r="155" spans="1:14" ht="15" x14ac:dyDescent="0.35">
      <c r="A155" s="58"/>
      <c r="B155" s="57"/>
      <c r="C155" s="57"/>
      <c r="D155" s="57"/>
      <c r="E155" s="57"/>
      <c r="F155" s="59"/>
      <c r="G155" s="57"/>
      <c r="H155" s="57"/>
      <c r="I155" s="57"/>
      <c r="J155" s="57"/>
      <c r="K155" s="57"/>
      <c r="L155" s="57"/>
      <c r="M155" s="57"/>
      <c r="N155" s="57"/>
    </row>
    <row r="156" spans="1:14" ht="15" x14ac:dyDescent="0.35">
      <c r="A156" s="1017" t="s">
        <v>27</v>
      </c>
      <c r="B156" s="1018"/>
      <c r="C156" s="1018"/>
      <c r="D156" s="1018"/>
      <c r="E156" s="1018"/>
      <c r="F156" s="1018"/>
      <c r="G156" s="1018"/>
      <c r="H156" s="1018"/>
      <c r="I156" s="1019"/>
      <c r="J156" s="57"/>
      <c r="K156" s="57"/>
      <c r="L156" s="57"/>
      <c r="M156" s="57"/>
      <c r="N156" s="57"/>
    </row>
    <row r="157" spans="1:14" ht="15" x14ac:dyDescent="0.35">
      <c r="A157" s="124"/>
      <c r="B157" s="125"/>
      <c r="C157" s="125"/>
      <c r="D157" s="126"/>
      <c r="E157" s="125"/>
      <c r="F157" s="127"/>
      <c r="G157" s="125"/>
      <c r="H157" s="126"/>
      <c r="I157" s="126"/>
      <c r="J157" s="57"/>
      <c r="K157" s="57"/>
      <c r="L157" s="57"/>
      <c r="M157" s="57"/>
      <c r="N157" s="57"/>
    </row>
    <row r="158" spans="1:14" ht="45" x14ac:dyDescent="0.35">
      <c r="A158" s="128" t="s">
        <v>64</v>
      </c>
      <c r="B158" s="129" t="s">
        <v>152</v>
      </c>
      <c r="C158" s="130" t="s">
        <v>352</v>
      </c>
      <c r="D158" s="131" t="s">
        <v>153</v>
      </c>
      <c r="E158" s="132"/>
      <c r="F158" s="827" t="s">
        <v>15</v>
      </c>
      <c r="G158" s="129" t="s">
        <v>304</v>
      </c>
      <c r="H158" s="130" t="s">
        <v>28</v>
      </c>
      <c r="I158" s="131" t="s">
        <v>154</v>
      </c>
      <c r="J158" s="57"/>
      <c r="K158" s="57"/>
      <c r="L158" s="57"/>
      <c r="M158" s="57"/>
      <c r="N158" s="57"/>
    </row>
    <row r="159" spans="1:14" ht="15" x14ac:dyDescent="0.35">
      <c r="A159" s="133" t="str">
        <f>A173</f>
        <v>أقل من ثلاثة أشهر</v>
      </c>
      <c r="B159" s="134">
        <v>1</v>
      </c>
      <c r="C159" s="135">
        <v>0</v>
      </c>
      <c r="D159" s="71">
        <f>B159*(1-C159)</f>
        <v>1</v>
      </c>
      <c r="E159" s="132"/>
      <c r="F159" s="136" t="str">
        <f>F173</f>
        <v>أقل من ثلاثة أشهر</v>
      </c>
      <c r="G159" s="137">
        <v>1</v>
      </c>
      <c r="H159" s="138">
        <v>0</v>
      </c>
      <c r="I159" s="71">
        <f>G159*(1-H159)</f>
        <v>1</v>
      </c>
      <c r="J159" s="57"/>
      <c r="K159" s="57"/>
      <c r="L159" s="57"/>
      <c r="M159" s="57"/>
      <c r="N159" s="57"/>
    </row>
    <row r="160" spans="1:14" ht="15" x14ac:dyDescent="0.35">
      <c r="A160" s="139" t="str">
        <f>A174</f>
        <v>من 3 إلى 12 شهرًا</v>
      </c>
      <c r="B160" s="140">
        <v>1</v>
      </c>
      <c r="C160" s="135">
        <v>0</v>
      </c>
      <c r="D160" s="84">
        <f>B160*(1-C160)</f>
        <v>1</v>
      </c>
      <c r="E160" s="132"/>
      <c r="F160" s="141" t="str">
        <f>F174</f>
        <v>من 3 إلى 12 شهرًا</v>
      </c>
      <c r="G160" s="135">
        <v>1</v>
      </c>
      <c r="H160" s="142">
        <v>0</v>
      </c>
      <c r="I160" s="84">
        <f>G160*(1-H160)</f>
        <v>1</v>
      </c>
      <c r="J160" s="57"/>
      <c r="K160" s="57"/>
      <c r="L160" s="57"/>
      <c r="M160" s="57"/>
      <c r="N160" s="57"/>
    </row>
    <row r="161" spans="1:14" ht="15" x14ac:dyDescent="0.35">
      <c r="A161" s="139" t="str">
        <f>A175</f>
        <v>من سنة إلى خمس سنوات</v>
      </c>
      <c r="B161" s="140">
        <v>1</v>
      </c>
      <c r="C161" s="135">
        <v>0</v>
      </c>
      <c r="D161" s="84">
        <f>B161*(1-C161)</f>
        <v>1</v>
      </c>
      <c r="E161" s="132"/>
      <c r="F161" s="141" t="str">
        <f>F175</f>
        <v>من سنة إلى خمس سنوات</v>
      </c>
      <c r="G161" s="135">
        <v>1</v>
      </c>
      <c r="H161" s="142">
        <v>0</v>
      </c>
      <c r="I161" s="84">
        <f>G161*(1-H161)</f>
        <v>1</v>
      </c>
      <c r="J161" s="57"/>
      <c r="K161" s="57"/>
      <c r="L161" s="57"/>
      <c r="M161" s="57"/>
      <c r="N161" s="57"/>
    </row>
    <row r="162" spans="1:14" ht="15" x14ac:dyDescent="0.35">
      <c r="A162" s="139" t="str">
        <f>A176</f>
        <v>أكثر من خمس سنوات</v>
      </c>
      <c r="B162" s="140">
        <v>1</v>
      </c>
      <c r="C162" s="135">
        <v>0</v>
      </c>
      <c r="D162" s="84">
        <f>B162*(1-C162)</f>
        <v>1</v>
      </c>
      <c r="E162" s="132"/>
      <c r="F162" s="141" t="str">
        <f>F176</f>
        <v>أكثر من خمس سنوات</v>
      </c>
      <c r="G162" s="135">
        <v>1</v>
      </c>
      <c r="H162" s="142">
        <v>0</v>
      </c>
      <c r="I162" s="84">
        <f>G162*(1-H162)</f>
        <v>1</v>
      </c>
      <c r="J162" s="57"/>
      <c r="K162" s="57"/>
      <c r="L162" s="57"/>
      <c r="M162" s="57"/>
      <c r="N162" s="57"/>
    </row>
    <row r="163" spans="1:14" ht="15" x14ac:dyDescent="0.35">
      <c r="A163" s="139"/>
      <c r="B163" s="140"/>
      <c r="C163" s="135"/>
      <c r="D163" s="84"/>
      <c r="E163" s="132"/>
      <c r="F163" s="141"/>
      <c r="G163" s="135"/>
      <c r="H163" s="142"/>
      <c r="I163" s="84"/>
      <c r="J163" s="57"/>
      <c r="K163" s="57"/>
      <c r="L163" s="57"/>
      <c r="M163" s="57"/>
      <c r="N163" s="57"/>
    </row>
    <row r="164" spans="1:14" ht="15" x14ac:dyDescent="0.35">
      <c r="A164" s="139"/>
      <c r="B164" s="140"/>
      <c r="C164" s="135"/>
      <c r="D164" s="84"/>
      <c r="E164" s="132"/>
      <c r="F164" s="141"/>
      <c r="G164" s="135"/>
      <c r="H164" s="142"/>
      <c r="I164" s="84"/>
      <c r="J164" s="57"/>
      <c r="K164" s="57"/>
      <c r="L164" s="57"/>
      <c r="M164" s="57"/>
      <c r="N164" s="57"/>
    </row>
    <row r="165" spans="1:14" ht="15" x14ac:dyDescent="0.35">
      <c r="A165" s="139"/>
      <c r="B165" s="140"/>
      <c r="C165" s="135"/>
      <c r="D165" s="84"/>
      <c r="E165" s="132"/>
      <c r="F165" s="141"/>
      <c r="G165" s="135"/>
      <c r="H165" s="142"/>
      <c r="I165" s="84"/>
      <c r="J165" s="57"/>
      <c r="K165" s="57"/>
      <c r="L165" s="57"/>
      <c r="M165" s="57"/>
      <c r="N165" s="57"/>
    </row>
    <row r="166" spans="1:14" ht="15" x14ac:dyDescent="0.35">
      <c r="A166" s="139"/>
      <c r="B166" s="140"/>
      <c r="C166" s="135"/>
      <c r="D166" s="84"/>
      <c r="E166" s="132"/>
      <c r="F166" s="141"/>
      <c r="G166" s="135"/>
      <c r="H166" s="142"/>
      <c r="I166" s="84"/>
      <c r="J166" s="57"/>
      <c r="K166" s="57"/>
      <c r="L166" s="57"/>
      <c r="M166" s="57"/>
      <c r="N166" s="57"/>
    </row>
    <row r="167" spans="1:14" ht="15" x14ac:dyDescent="0.35">
      <c r="A167" s="139"/>
      <c r="B167" s="140"/>
      <c r="C167" s="135"/>
      <c r="D167" s="84"/>
      <c r="E167" s="132"/>
      <c r="F167" s="141"/>
      <c r="G167" s="135"/>
      <c r="H167" s="142"/>
      <c r="I167" s="84"/>
      <c r="J167" s="57"/>
      <c r="K167" s="57"/>
      <c r="L167" s="57"/>
      <c r="M167" s="57"/>
      <c r="N167" s="57"/>
    </row>
    <row r="168" spans="1:14" ht="15" x14ac:dyDescent="0.35">
      <c r="A168" s="143"/>
      <c r="B168" s="144"/>
      <c r="C168" s="145"/>
      <c r="D168" s="95"/>
      <c r="E168" s="132"/>
      <c r="F168" s="810"/>
      <c r="G168" s="147"/>
      <c r="H168" s="144"/>
      <c r="I168" s="95"/>
      <c r="J168" s="57"/>
      <c r="K168" s="57"/>
      <c r="L168" s="57"/>
      <c r="M168" s="57"/>
      <c r="N168" s="57"/>
    </row>
    <row r="169" spans="1:14" ht="15" x14ac:dyDescent="0.35">
      <c r="A169" s="124"/>
      <c r="B169" s="125"/>
      <c r="C169" s="125"/>
      <c r="D169" s="126"/>
      <c r="E169" s="125"/>
      <c r="F169" s="127"/>
      <c r="G169" s="125"/>
      <c r="H169" s="126"/>
      <c r="I169" s="126"/>
      <c r="J169" s="57"/>
      <c r="K169" s="57"/>
      <c r="L169" s="57"/>
      <c r="M169" s="57"/>
      <c r="N169" s="57"/>
    </row>
    <row r="170" spans="1:14" ht="15" x14ac:dyDescent="0.35">
      <c r="A170" s="1020" t="s">
        <v>155</v>
      </c>
      <c r="B170" s="1021"/>
      <c r="C170" s="1021"/>
      <c r="D170" s="1021"/>
      <c r="E170" s="1021"/>
      <c r="F170" s="1021"/>
      <c r="G170" s="1021"/>
      <c r="H170" s="1021"/>
      <c r="I170" s="1022"/>
      <c r="J170" s="57"/>
      <c r="K170" s="57"/>
      <c r="L170" s="57"/>
      <c r="M170" s="57"/>
      <c r="N170" s="57"/>
    </row>
    <row r="171" spans="1:14" ht="15" x14ac:dyDescent="0.35">
      <c r="A171" s="124"/>
      <c r="B171" s="125"/>
      <c r="C171" s="125"/>
      <c r="D171" s="126"/>
      <c r="E171" s="125"/>
      <c r="F171" s="127"/>
      <c r="G171" s="125"/>
      <c r="H171" s="126"/>
      <c r="I171" s="126"/>
      <c r="J171" s="57"/>
      <c r="K171" s="57"/>
      <c r="L171" s="57"/>
      <c r="M171" s="57"/>
      <c r="N171" s="57"/>
    </row>
    <row r="172" spans="1:14" ht="45" x14ac:dyDescent="0.35">
      <c r="A172" s="148" t="s">
        <v>131</v>
      </c>
      <c r="B172" s="129" t="s">
        <v>152</v>
      </c>
      <c r="C172" s="130" t="s">
        <v>353</v>
      </c>
      <c r="D172" s="131" t="s">
        <v>153</v>
      </c>
      <c r="E172" s="132"/>
      <c r="F172" s="876" t="s">
        <v>156</v>
      </c>
      <c r="G172" s="129" t="s">
        <v>304</v>
      </c>
      <c r="H172" s="130" t="s">
        <v>28</v>
      </c>
      <c r="I172" s="131" t="s">
        <v>154</v>
      </c>
      <c r="J172" s="57"/>
      <c r="K172" s="57"/>
      <c r="L172" s="57"/>
      <c r="M172" s="57"/>
      <c r="N172" s="57"/>
    </row>
    <row r="173" spans="1:14" ht="15" x14ac:dyDescent="0.35">
      <c r="A173" s="149" t="s">
        <v>5</v>
      </c>
      <c r="B173" s="138">
        <v>0.8</v>
      </c>
      <c r="C173" s="135">
        <v>0</v>
      </c>
      <c r="D173" s="71">
        <f>B173*(1-C173)</f>
        <v>0.8</v>
      </c>
      <c r="E173" s="132"/>
      <c r="F173" s="141" t="s">
        <v>5</v>
      </c>
      <c r="G173" s="137">
        <v>1</v>
      </c>
      <c r="H173" s="138">
        <v>0</v>
      </c>
      <c r="I173" s="71">
        <f>G173*(1-H173)</f>
        <v>1</v>
      </c>
      <c r="J173" s="57"/>
      <c r="K173" s="57"/>
      <c r="L173" s="57"/>
      <c r="M173" s="57"/>
      <c r="N173" s="57"/>
    </row>
    <row r="174" spans="1:14" ht="15" x14ac:dyDescent="0.35">
      <c r="A174" s="149" t="s">
        <v>2</v>
      </c>
      <c r="B174" s="142">
        <v>0.8</v>
      </c>
      <c r="C174" s="135">
        <v>0</v>
      </c>
      <c r="D174" s="84">
        <f>B174*(1-C174)</f>
        <v>0.8</v>
      </c>
      <c r="E174" s="132"/>
      <c r="F174" s="141" t="s">
        <v>2</v>
      </c>
      <c r="G174" s="135">
        <v>1</v>
      </c>
      <c r="H174" s="142">
        <v>0</v>
      </c>
      <c r="I174" s="84">
        <f>G174*(1-H174)</f>
        <v>1</v>
      </c>
      <c r="J174" s="57"/>
      <c r="K174" s="57"/>
      <c r="L174" s="57"/>
      <c r="M174" s="57"/>
      <c r="N174" s="57"/>
    </row>
    <row r="175" spans="1:14" ht="15" x14ac:dyDescent="0.35">
      <c r="A175" s="149" t="s">
        <v>3</v>
      </c>
      <c r="B175" s="142">
        <v>0.8</v>
      </c>
      <c r="C175" s="135">
        <v>0</v>
      </c>
      <c r="D175" s="84">
        <f>B175*(1-C175)</f>
        <v>0.8</v>
      </c>
      <c r="E175" s="132"/>
      <c r="F175" s="141" t="s">
        <v>3</v>
      </c>
      <c r="G175" s="135">
        <v>1</v>
      </c>
      <c r="H175" s="142">
        <v>0</v>
      </c>
      <c r="I175" s="84">
        <f>G175*(1-H175)</f>
        <v>1</v>
      </c>
      <c r="J175" s="57"/>
      <c r="K175" s="57"/>
      <c r="L175" s="57"/>
      <c r="M175" s="57"/>
      <c r="N175" s="57"/>
    </row>
    <row r="176" spans="1:14" ht="15" x14ac:dyDescent="0.35">
      <c r="A176" s="149" t="s">
        <v>4</v>
      </c>
      <c r="B176" s="142">
        <v>0.8</v>
      </c>
      <c r="C176" s="135">
        <v>0</v>
      </c>
      <c r="D176" s="84">
        <f>B176*(1-C176)</f>
        <v>0.8</v>
      </c>
      <c r="E176" s="132"/>
      <c r="F176" s="141" t="s">
        <v>4</v>
      </c>
      <c r="G176" s="135">
        <v>1</v>
      </c>
      <c r="H176" s="142">
        <v>0</v>
      </c>
      <c r="I176" s="84">
        <f>G176*(1-H176)</f>
        <v>1</v>
      </c>
      <c r="J176" s="57"/>
      <c r="K176" s="57"/>
      <c r="L176" s="57"/>
      <c r="M176" s="57"/>
      <c r="N176" s="57"/>
    </row>
    <row r="177" spans="1:14" ht="15" x14ac:dyDescent="0.35">
      <c r="A177" s="149"/>
      <c r="B177" s="142"/>
      <c r="C177" s="135"/>
      <c r="D177" s="84"/>
      <c r="E177" s="132"/>
      <c r="F177" s="141"/>
      <c r="G177" s="135"/>
      <c r="H177" s="142"/>
      <c r="I177" s="84"/>
      <c r="J177" s="57"/>
      <c r="K177" s="57"/>
      <c r="L177" s="57"/>
      <c r="M177" s="57"/>
      <c r="N177" s="57"/>
    </row>
    <row r="178" spans="1:14" ht="15" x14ac:dyDescent="0.35">
      <c r="A178" s="149"/>
      <c r="B178" s="142"/>
      <c r="C178" s="135"/>
      <c r="D178" s="84"/>
      <c r="E178" s="132"/>
      <c r="F178" s="141"/>
      <c r="G178" s="135"/>
      <c r="H178" s="142"/>
      <c r="I178" s="84"/>
      <c r="J178" s="57"/>
      <c r="K178" s="57"/>
      <c r="L178" s="57"/>
      <c r="M178" s="57"/>
      <c r="N178" s="57"/>
    </row>
    <row r="179" spans="1:14" ht="15" x14ac:dyDescent="0.35">
      <c r="A179" s="149"/>
      <c r="B179" s="142"/>
      <c r="C179" s="135"/>
      <c r="D179" s="84"/>
      <c r="E179" s="132"/>
      <c r="F179" s="141"/>
      <c r="G179" s="135"/>
      <c r="H179" s="142"/>
      <c r="I179" s="84"/>
      <c r="J179" s="57"/>
      <c r="K179" s="57"/>
      <c r="L179" s="57"/>
      <c r="M179" s="57"/>
      <c r="N179" s="57"/>
    </row>
    <row r="180" spans="1:14" ht="15" x14ac:dyDescent="0.35">
      <c r="A180" s="149"/>
      <c r="B180" s="142"/>
      <c r="C180" s="135"/>
      <c r="D180" s="84"/>
      <c r="E180" s="132"/>
      <c r="F180" s="141"/>
      <c r="G180" s="135"/>
      <c r="H180" s="142"/>
      <c r="I180" s="84"/>
      <c r="J180" s="57"/>
      <c r="K180" s="57"/>
      <c r="L180" s="57"/>
      <c r="M180" s="57"/>
      <c r="N180" s="57"/>
    </row>
    <row r="181" spans="1:14" ht="15" x14ac:dyDescent="0.35">
      <c r="A181" s="149"/>
      <c r="B181" s="142"/>
      <c r="C181" s="135"/>
      <c r="D181" s="84"/>
      <c r="E181" s="132"/>
      <c r="F181" s="141"/>
      <c r="G181" s="135"/>
      <c r="H181" s="142"/>
      <c r="I181" s="84"/>
      <c r="J181" s="57"/>
      <c r="K181" s="57"/>
      <c r="L181" s="57"/>
      <c r="M181" s="57"/>
      <c r="N181" s="57"/>
    </row>
    <row r="182" spans="1:14" ht="15" x14ac:dyDescent="0.35">
      <c r="A182" s="150"/>
      <c r="B182" s="147"/>
      <c r="C182" s="147"/>
      <c r="D182" s="95"/>
      <c r="E182" s="132"/>
      <c r="F182" s="146"/>
      <c r="G182" s="145"/>
      <c r="H182" s="147"/>
      <c r="I182" s="95"/>
      <c r="J182" s="57"/>
      <c r="K182" s="57"/>
      <c r="L182" s="57"/>
      <c r="M182" s="57"/>
      <c r="N182" s="57"/>
    </row>
    <row r="183" spans="1:14" ht="15" x14ac:dyDescent="0.35">
      <c r="A183" s="151"/>
      <c r="B183" s="132"/>
      <c r="C183" s="132"/>
      <c r="D183" s="132"/>
      <c r="E183" s="132"/>
      <c r="F183" s="152"/>
      <c r="G183" s="132"/>
      <c r="H183" s="132"/>
      <c r="I183" s="132"/>
      <c r="J183" s="57"/>
      <c r="K183" s="57"/>
      <c r="L183" s="57"/>
      <c r="M183" s="57"/>
      <c r="N183" s="57"/>
    </row>
    <row r="184" spans="1:14" ht="45" x14ac:dyDescent="0.35">
      <c r="A184" s="148" t="s">
        <v>132</v>
      </c>
      <c r="B184" s="129" t="s">
        <v>152</v>
      </c>
      <c r="C184" s="131" t="s">
        <v>354</v>
      </c>
      <c r="D184" s="131" t="s">
        <v>153</v>
      </c>
      <c r="E184" s="132"/>
      <c r="F184" s="876" t="s">
        <v>157</v>
      </c>
      <c r="G184" s="129" t="s">
        <v>304</v>
      </c>
      <c r="H184" s="130" t="s">
        <v>28</v>
      </c>
      <c r="I184" s="131" t="s">
        <v>154</v>
      </c>
      <c r="J184" s="57"/>
      <c r="K184" s="57"/>
      <c r="L184" s="57"/>
      <c r="M184" s="57"/>
      <c r="N184" s="57"/>
    </row>
    <row r="185" spans="1:14" ht="15" x14ac:dyDescent="0.35">
      <c r="A185" s="149" t="s">
        <v>5</v>
      </c>
      <c r="B185" s="138">
        <v>0.8</v>
      </c>
      <c r="C185" s="138">
        <v>0</v>
      </c>
      <c r="D185" s="71">
        <f>B185*(1-C185)</f>
        <v>0.8</v>
      </c>
      <c r="E185" s="132"/>
      <c r="F185" s="141" t="s">
        <v>5</v>
      </c>
      <c r="G185" s="137">
        <v>1</v>
      </c>
      <c r="H185" s="138">
        <v>0</v>
      </c>
      <c r="I185" s="71">
        <f>G185*(1-H185)</f>
        <v>1</v>
      </c>
      <c r="J185" s="57"/>
      <c r="K185" s="57"/>
      <c r="L185" s="57"/>
      <c r="M185" s="57"/>
      <c r="N185" s="57"/>
    </row>
    <row r="186" spans="1:14" ht="15" x14ac:dyDescent="0.35">
      <c r="A186" s="149" t="s">
        <v>2</v>
      </c>
      <c r="B186" s="142">
        <v>0.8</v>
      </c>
      <c r="C186" s="142">
        <v>0</v>
      </c>
      <c r="D186" s="84">
        <f>B186*(1-C186)</f>
        <v>0.8</v>
      </c>
      <c r="E186" s="132"/>
      <c r="F186" s="141" t="s">
        <v>2</v>
      </c>
      <c r="G186" s="135">
        <v>1</v>
      </c>
      <c r="H186" s="142">
        <v>0</v>
      </c>
      <c r="I186" s="84">
        <f>G186*(1-H186)</f>
        <v>1</v>
      </c>
      <c r="J186" s="57"/>
      <c r="K186" s="57"/>
      <c r="L186" s="57"/>
      <c r="M186" s="57"/>
      <c r="N186" s="57"/>
    </row>
    <row r="187" spans="1:14" ht="15" x14ac:dyDescent="0.35">
      <c r="A187" s="149" t="s">
        <v>3</v>
      </c>
      <c r="B187" s="142">
        <v>0.8</v>
      </c>
      <c r="C187" s="142">
        <v>0</v>
      </c>
      <c r="D187" s="84">
        <f>B187*(1-C187)</f>
        <v>0.8</v>
      </c>
      <c r="E187" s="132"/>
      <c r="F187" s="141" t="s">
        <v>3</v>
      </c>
      <c r="G187" s="135">
        <v>1</v>
      </c>
      <c r="H187" s="142">
        <v>0</v>
      </c>
      <c r="I187" s="84">
        <f>G187*(1-H187)</f>
        <v>1</v>
      </c>
      <c r="J187" s="57"/>
      <c r="K187" s="57"/>
      <c r="L187" s="57"/>
      <c r="M187" s="57"/>
      <c r="N187" s="57"/>
    </row>
    <row r="188" spans="1:14" ht="15" x14ac:dyDescent="0.35">
      <c r="A188" s="149" t="s">
        <v>4</v>
      </c>
      <c r="B188" s="142">
        <v>0.8</v>
      </c>
      <c r="C188" s="142">
        <v>0</v>
      </c>
      <c r="D188" s="84">
        <f>B188*(1-C188)</f>
        <v>0.8</v>
      </c>
      <c r="E188" s="132"/>
      <c r="F188" s="141" t="s">
        <v>4</v>
      </c>
      <c r="G188" s="135">
        <v>1</v>
      </c>
      <c r="H188" s="142">
        <v>0</v>
      </c>
      <c r="I188" s="84">
        <f>G188*(1-H188)</f>
        <v>1</v>
      </c>
      <c r="J188" s="57"/>
      <c r="K188" s="57"/>
      <c r="L188" s="57"/>
      <c r="M188" s="57"/>
      <c r="N188" s="57"/>
    </row>
    <row r="189" spans="1:14" ht="15" x14ac:dyDescent="0.35">
      <c r="A189" s="149"/>
      <c r="B189" s="142"/>
      <c r="C189" s="142"/>
      <c r="D189" s="84"/>
      <c r="E189" s="132"/>
      <c r="F189" s="141"/>
      <c r="G189" s="135"/>
      <c r="H189" s="142"/>
      <c r="I189" s="84"/>
      <c r="J189" s="57"/>
      <c r="K189" s="57"/>
      <c r="L189" s="57"/>
      <c r="M189" s="57"/>
      <c r="N189" s="57"/>
    </row>
    <row r="190" spans="1:14" ht="15" x14ac:dyDescent="0.35">
      <c r="A190" s="149"/>
      <c r="B190" s="142"/>
      <c r="C190" s="142"/>
      <c r="D190" s="84"/>
      <c r="E190" s="132"/>
      <c r="F190" s="141"/>
      <c r="G190" s="135"/>
      <c r="H190" s="142"/>
      <c r="I190" s="84"/>
      <c r="J190" s="57"/>
      <c r="K190" s="57"/>
      <c r="L190" s="57"/>
      <c r="M190" s="57"/>
      <c r="N190" s="57"/>
    </row>
    <row r="191" spans="1:14" ht="15" x14ac:dyDescent="0.35">
      <c r="A191" s="149"/>
      <c r="B191" s="142"/>
      <c r="C191" s="142"/>
      <c r="D191" s="84"/>
      <c r="E191" s="132"/>
      <c r="F191" s="141"/>
      <c r="G191" s="135"/>
      <c r="H191" s="142"/>
      <c r="I191" s="84"/>
      <c r="J191" s="57"/>
      <c r="K191" s="57"/>
      <c r="L191" s="57"/>
      <c r="M191" s="57"/>
      <c r="N191" s="57"/>
    </row>
    <row r="192" spans="1:14" ht="15" x14ac:dyDescent="0.35">
      <c r="A192" s="149"/>
      <c r="B192" s="142"/>
      <c r="C192" s="142"/>
      <c r="D192" s="84"/>
      <c r="E192" s="132"/>
      <c r="F192" s="141"/>
      <c r="G192" s="135"/>
      <c r="H192" s="142"/>
      <c r="I192" s="84"/>
      <c r="J192" s="57"/>
      <c r="K192" s="57"/>
      <c r="L192" s="57"/>
      <c r="M192" s="57"/>
      <c r="N192" s="57"/>
    </row>
    <row r="193" spans="1:14" ht="15" x14ac:dyDescent="0.35">
      <c r="A193" s="149"/>
      <c r="B193" s="142"/>
      <c r="C193" s="142"/>
      <c r="D193" s="84"/>
      <c r="E193" s="132"/>
      <c r="F193" s="141"/>
      <c r="G193" s="135"/>
      <c r="H193" s="142"/>
      <c r="I193" s="84"/>
      <c r="J193" s="57"/>
      <c r="K193" s="57"/>
      <c r="L193" s="57"/>
      <c r="M193" s="57"/>
      <c r="N193" s="57"/>
    </row>
    <row r="194" spans="1:14" ht="15" x14ac:dyDescent="0.35">
      <c r="A194" s="150"/>
      <c r="B194" s="147"/>
      <c r="C194" s="147"/>
      <c r="D194" s="95"/>
      <c r="E194" s="132"/>
      <c r="F194" s="146"/>
      <c r="G194" s="145"/>
      <c r="H194" s="147"/>
      <c r="I194" s="95"/>
      <c r="J194" s="57"/>
      <c r="K194" s="57"/>
      <c r="L194" s="57"/>
      <c r="M194" s="57"/>
      <c r="N194" s="57"/>
    </row>
    <row r="195" spans="1:14" ht="15" x14ac:dyDescent="0.35">
      <c r="A195" s="151"/>
      <c r="B195" s="132"/>
      <c r="C195" s="132"/>
      <c r="D195" s="132"/>
      <c r="E195" s="132"/>
      <c r="F195" s="152"/>
      <c r="G195" s="132"/>
      <c r="H195" s="132"/>
      <c r="I195" s="132"/>
      <c r="J195" s="57"/>
      <c r="K195" s="57"/>
      <c r="L195" s="57"/>
      <c r="M195" s="57"/>
      <c r="N195" s="57"/>
    </row>
    <row r="196" spans="1:14" ht="45" x14ac:dyDescent="0.35">
      <c r="A196" s="148" t="s">
        <v>454</v>
      </c>
      <c r="B196" s="129" t="s">
        <v>152</v>
      </c>
      <c r="C196" s="131" t="s">
        <v>354</v>
      </c>
      <c r="D196" s="131" t="s">
        <v>153</v>
      </c>
      <c r="E196" s="132"/>
      <c r="F196" s="379" t="s">
        <v>456</v>
      </c>
      <c r="G196" s="129" t="s">
        <v>304</v>
      </c>
      <c r="H196" s="131" t="s">
        <v>28</v>
      </c>
      <c r="I196" s="131" t="s">
        <v>154</v>
      </c>
      <c r="J196" s="57"/>
      <c r="K196" s="57"/>
      <c r="L196" s="57"/>
      <c r="M196" s="57"/>
      <c r="N196" s="57"/>
    </row>
    <row r="197" spans="1:14" ht="15" x14ac:dyDescent="0.35">
      <c r="A197" s="149" t="s">
        <v>5</v>
      </c>
      <c r="B197" s="834">
        <v>0.8</v>
      </c>
      <c r="C197" s="138">
        <v>0</v>
      </c>
      <c r="D197" s="77">
        <f>B197*(1-C197)</f>
        <v>0.8</v>
      </c>
      <c r="E197" s="132"/>
      <c r="F197" s="809" t="s">
        <v>5</v>
      </c>
      <c r="G197" s="834">
        <v>1</v>
      </c>
      <c r="H197" s="138">
        <v>0</v>
      </c>
      <c r="I197" s="77">
        <f>G197*(1-H197)</f>
        <v>1</v>
      </c>
      <c r="J197" s="57"/>
      <c r="K197" s="57"/>
      <c r="L197" s="57"/>
      <c r="M197" s="57"/>
      <c r="N197" s="57"/>
    </row>
    <row r="198" spans="1:14" ht="15" x14ac:dyDescent="0.35">
      <c r="A198" s="149" t="s">
        <v>2</v>
      </c>
      <c r="B198" s="835">
        <v>0.8</v>
      </c>
      <c r="C198" s="142">
        <v>0</v>
      </c>
      <c r="D198" s="85">
        <f>B198*(1-C198)</f>
        <v>0.8</v>
      </c>
      <c r="E198" s="132"/>
      <c r="F198" s="809" t="s">
        <v>2</v>
      </c>
      <c r="G198" s="835">
        <v>1</v>
      </c>
      <c r="H198" s="142">
        <v>0</v>
      </c>
      <c r="I198" s="85">
        <f>G198*(1-H198)</f>
        <v>1</v>
      </c>
      <c r="J198" s="57"/>
      <c r="K198" s="57"/>
      <c r="L198" s="57"/>
      <c r="M198" s="57"/>
      <c r="N198" s="57"/>
    </row>
    <row r="199" spans="1:14" ht="15" x14ac:dyDescent="0.35">
      <c r="A199" s="149" t="s">
        <v>3</v>
      </c>
      <c r="B199" s="835">
        <v>0.8</v>
      </c>
      <c r="C199" s="142">
        <v>0</v>
      </c>
      <c r="D199" s="85">
        <f>B199*(1-C199)</f>
        <v>0.8</v>
      </c>
      <c r="E199" s="132"/>
      <c r="F199" s="809" t="s">
        <v>3</v>
      </c>
      <c r="G199" s="835">
        <v>1</v>
      </c>
      <c r="H199" s="142">
        <v>0</v>
      </c>
      <c r="I199" s="85">
        <f>G199*(1-H199)</f>
        <v>1</v>
      </c>
      <c r="J199" s="57"/>
      <c r="K199" s="57"/>
      <c r="L199" s="57"/>
      <c r="M199" s="57"/>
      <c r="N199" s="57"/>
    </row>
    <row r="200" spans="1:14" ht="15" x14ac:dyDescent="0.35">
      <c r="A200" s="149" t="s">
        <v>4</v>
      </c>
      <c r="B200" s="835">
        <v>0.8</v>
      </c>
      <c r="C200" s="142">
        <v>0</v>
      </c>
      <c r="D200" s="85">
        <f>B200*(1-C200)</f>
        <v>0.8</v>
      </c>
      <c r="E200" s="132"/>
      <c r="F200" s="809" t="s">
        <v>4</v>
      </c>
      <c r="G200" s="835">
        <v>1</v>
      </c>
      <c r="H200" s="142">
        <v>0</v>
      </c>
      <c r="I200" s="85">
        <f>G200*(1-H200)</f>
        <v>1</v>
      </c>
      <c r="J200" s="57"/>
      <c r="K200" s="57"/>
      <c r="L200" s="57"/>
      <c r="M200" s="57"/>
      <c r="N200" s="57"/>
    </row>
    <row r="201" spans="1:14" ht="15" x14ac:dyDescent="0.35">
      <c r="A201" s="149"/>
      <c r="B201" s="835"/>
      <c r="C201" s="142"/>
      <c r="D201" s="85"/>
      <c r="E201" s="132"/>
      <c r="F201" s="809"/>
      <c r="G201" s="835"/>
      <c r="H201" s="142"/>
      <c r="I201" s="85"/>
      <c r="J201" s="57"/>
      <c r="K201" s="57"/>
      <c r="L201" s="57"/>
      <c r="M201" s="57"/>
      <c r="N201" s="57"/>
    </row>
    <row r="202" spans="1:14" ht="15" x14ac:dyDescent="0.35">
      <c r="A202" s="149"/>
      <c r="B202" s="835"/>
      <c r="C202" s="142"/>
      <c r="D202" s="85"/>
      <c r="E202" s="132"/>
      <c r="F202" s="809"/>
      <c r="G202" s="835"/>
      <c r="H202" s="142"/>
      <c r="I202" s="85"/>
      <c r="J202" s="57"/>
      <c r="K202" s="57"/>
      <c r="L202" s="57"/>
      <c r="M202" s="57"/>
      <c r="N202" s="57"/>
    </row>
    <row r="203" spans="1:14" ht="15" x14ac:dyDescent="0.35">
      <c r="A203" s="149"/>
      <c r="B203" s="835"/>
      <c r="C203" s="142"/>
      <c r="D203" s="85"/>
      <c r="E203" s="132"/>
      <c r="F203" s="809"/>
      <c r="G203" s="835"/>
      <c r="H203" s="142"/>
      <c r="I203" s="85"/>
      <c r="J203" s="57"/>
      <c r="K203" s="57"/>
      <c r="L203" s="57"/>
      <c r="M203" s="57"/>
      <c r="N203" s="57"/>
    </row>
    <row r="204" spans="1:14" ht="15" x14ac:dyDescent="0.35">
      <c r="A204" s="149"/>
      <c r="B204" s="835"/>
      <c r="C204" s="142"/>
      <c r="D204" s="85"/>
      <c r="E204" s="132"/>
      <c r="F204" s="809"/>
      <c r="G204" s="835"/>
      <c r="H204" s="142"/>
      <c r="I204" s="85"/>
      <c r="J204" s="57"/>
      <c r="K204" s="57"/>
      <c r="L204" s="57"/>
      <c r="M204" s="57"/>
      <c r="N204" s="57"/>
    </row>
    <row r="205" spans="1:14" ht="15" x14ac:dyDescent="0.35">
      <c r="A205" s="149"/>
      <c r="B205" s="835"/>
      <c r="C205" s="142"/>
      <c r="D205" s="85"/>
      <c r="E205" s="132"/>
      <c r="F205" s="809"/>
      <c r="G205" s="835"/>
      <c r="H205" s="142"/>
      <c r="I205" s="85"/>
      <c r="J205" s="57"/>
      <c r="K205" s="57"/>
      <c r="L205" s="57"/>
      <c r="M205" s="57"/>
      <c r="N205" s="57"/>
    </row>
    <row r="206" spans="1:14" ht="15" x14ac:dyDescent="0.35">
      <c r="A206" s="150"/>
      <c r="B206" s="836"/>
      <c r="C206" s="147"/>
      <c r="D206" s="96"/>
      <c r="E206" s="132"/>
      <c r="F206" s="810"/>
      <c r="G206" s="836"/>
      <c r="H206" s="147"/>
      <c r="I206" s="96"/>
      <c r="J206" s="57"/>
      <c r="K206" s="57"/>
      <c r="L206" s="57"/>
      <c r="M206" s="57"/>
      <c r="N206" s="57"/>
    </row>
    <row r="207" spans="1:14" ht="15" x14ac:dyDescent="0.35">
      <c r="A207" s="151"/>
      <c r="B207" s="132"/>
      <c r="C207" s="132"/>
      <c r="D207" s="132"/>
      <c r="E207" s="132"/>
      <c r="F207" s="152"/>
      <c r="G207" s="132"/>
      <c r="H207" s="132"/>
      <c r="I207" s="132"/>
      <c r="J207" s="57"/>
      <c r="K207" s="57"/>
      <c r="L207" s="57"/>
      <c r="M207" s="57"/>
      <c r="N207" s="57"/>
    </row>
    <row r="208" spans="1:14" ht="45" x14ac:dyDescent="0.35">
      <c r="A208" s="148" t="s">
        <v>455</v>
      </c>
      <c r="B208" s="129" t="s">
        <v>152</v>
      </c>
      <c r="C208" s="131" t="s">
        <v>354</v>
      </c>
      <c r="D208" s="131" t="s">
        <v>153</v>
      </c>
      <c r="E208" s="132"/>
      <c r="F208"/>
      <c r="G208"/>
      <c r="H208"/>
      <c r="I208"/>
      <c r="J208" s="57"/>
      <c r="K208" s="57"/>
      <c r="L208" s="57"/>
      <c r="M208" s="57"/>
      <c r="N208" s="57"/>
    </row>
    <row r="209" spans="1:14" ht="16.5" x14ac:dyDescent="0.35">
      <c r="A209" s="149" t="s">
        <v>5</v>
      </c>
      <c r="B209" s="138">
        <v>0.8</v>
      </c>
      <c r="C209" s="137">
        <v>0</v>
      </c>
      <c r="D209" s="71">
        <f>B209*(1-C209)</f>
        <v>0.8</v>
      </c>
      <c r="E209" s="132"/>
      <c r="F209"/>
      <c r="G209"/>
      <c r="H209"/>
      <c r="I209"/>
      <c r="J209" s="57"/>
      <c r="K209" s="57"/>
      <c r="L209" s="57"/>
      <c r="M209" s="57"/>
      <c r="N209" s="57"/>
    </row>
    <row r="210" spans="1:14" ht="16.5" x14ac:dyDescent="0.35">
      <c r="A210" s="149" t="s">
        <v>2</v>
      </c>
      <c r="B210" s="142">
        <v>0.8</v>
      </c>
      <c r="C210" s="135">
        <v>0</v>
      </c>
      <c r="D210" s="84">
        <f>B210*(1-C210)</f>
        <v>0.8</v>
      </c>
      <c r="E210" s="132"/>
      <c r="F210"/>
      <c r="G210"/>
      <c r="H210"/>
      <c r="I210"/>
      <c r="J210" s="57"/>
      <c r="K210" s="57"/>
      <c r="L210" s="57"/>
      <c r="M210" s="57"/>
      <c r="N210" s="57"/>
    </row>
    <row r="211" spans="1:14" ht="16.5" x14ac:dyDescent="0.35">
      <c r="A211" s="149" t="s">
        <v>3</v>
      </c>
      <c r="B211" s="142">
        <v>0.8</v>
      </c>
      <c r="C211" s="135">
        <v>0</v>
      </c>
      <c r="D211" s="84">
        <f>B211*(1-C211)</f>
        <v>0.8</v>
      </c>
      <c r="E211" s="132"/>
      <c r="F211"/>
      <c r="G211"/>
      <c r="H211"/>
      <c r="I211"/>
      <c r="J211" s="57"/>
      <c r="K211" s="57"/>
      <c r="L211" s="57"/>
      <c r="M211" s="57"/>
      <c r="N211" s="57"/>
    </row>
    <row r="212" spans="1:14" ht="16.5" x14ac:dyDescent="0.35">
      <c r="A212" s="149" t="s">
        <v>4</v>
      </c>
      <c r="B212" s="142">
        <v>0.8</v>
      </c>
      <c r="C212" s="135">
        <v>0</v>
      </c>
      <c r="D212" s="84">
        <f>B212*(1-C212)</f>
        <v>0.8</v>
      </c>
      <c r="E212" s="132"/>
      <c r="F212"/>
      <c r="G212"/>
      <c r="H212"/>
      <c r="I212"/>
      <c r="J212" s="57"/>
      <c r="K212" s="57"/>
      <c r="L212" s="57"/>
      <c r="M212" s="57"/>
      <c r="N212" s="57"/>
    </row>
    <row r="213" spans="1:14" ht="16.5" x14ac:dyDescent="0.35">
      <c r="A213" s="149"/>
      <c r="B213" s="142"/>
      <c r="C213" s="135"/>
      <c r="D213" s="84"/>
      <c r="E213" s="132"/>
      <c r="F213"/>
      <c r="G213"/>
      <c r="H213"/>
      <c r="I213"/>
      <c r="J213" s="57"/>
      <c r="K213" s="57"/>
      <c r="L213" s="57"/>
      <c r="M213" s="57"/>
      <c r="N213" s="57"/>
    </row>
    <row r="214" spans="1:14" ht="16.5" x14ac:dyDescent="0.35">
      <c r="A214" s="149"/>
      <c r="B214" s="142"/>
      <c r="C214" s="135"/>
      <c r="D214" s="84"/>
      <c r="E214" s="132"/>
      <c r="F214"/>
      <c r="G214"/>
      <c r="H214"/>
      <c r="I214"/>
      <c r="J214" s="57"/>
      <c r="K214" s="57"/>
      <c r="L214" s="57"/>
      <c r="M214" s="57"/>
      <c r="N214" s="57"/>
    </row>
    <row r="215" spans="1:14" ht="16.5" x14ac:dyDescent="0.35">
      <c r="A215" s="149"/>
      <c r="B215" s="142"/>
      <c r="C215" s="135"/>
      <c r="D215" s="84"/>
      <c r="E215" s="132"/>
      <c r="F215"/>
      <c r="G215"/>
      <c r="H215"/>
      <c r="I215"/>
      <c r="J215" s="57"/>
      <c r="K215" s="57"/>
      <c r="L215" s="57"/>
      <c r="M215" s="57"/>
      <c r="N215" s="57"/>
    </row>
    <row r="216" spans="1:14" ht="16.5" x14ac:dyDescent="0.35">
      <c r="A216" s="149"/>
      <c r="B216" s="142"/>
      <c r="C216" s="135"/>
      <c r="D216" s="84"/>
      <c r="E216" s="132"/>
      <c r="F216"/>
      <c r="G216"/>
      <c r="H216"/>
      <c r="I216"/>
      <c r="J216" s="57"/>
      <c r="K216" s="57"/>
      <c r="L216" s="57"/>
      <c r="M216" s="57"/>
      <c r="N216" s="57"/>
    </row>
    <row r="217" spans="1:14" ht="16.5" x14ac:dyDescent="0.35">
      <c r="A217" s="149"/>
      <c r="B217" s="142"/>
      <c r="C217" s="135"/>
      <c r="D217" s="84"/>
      <c r="E217" s="132"/>
      <c r="F217"/>
      <c r="G217"/>
      <c r="H217"/>
      <c r="I217"/>
      <c r="J217" s="57"/>
      <c r="K217" s="57"/>
      <c r="L217" s="57"/>
      <c r="M217" s="57"/>
      <c r="N217" s="57"/>
    </row>
    <row r="218" spans="1:14" ht="16.5" x14ac:dyDescent="0.35">
      <c r="A218" s="150"/>
      <c r="B218" s="147"/>
      <c r="C218" s="145"/>
      <c r="D218" s="95"/>
      <c r="E218" s="132"/>
      <c r="F218"/>
      <c r="G218"/>
      <c r="H218"/>
      <c r="I218"/>
      <c r="J218" s="57"/>
      <c r="K218" s="57"/>
      <c r="L218" s="57"/>
      <c r="M218" s="57"/>
      <c r="N218" s="57"/>
    </row>
    <row r="219" spans="1:14" ht="15" x14ac:dyDescent="0.35">
      <c r="A219" s="151"/>
      <c r="B219" s="132"/>
      <c r="C219" s="132"/>
      <c r="D219" s="132"/>
      <c r="E219" s="132"/>
      <c r="F219" s="152"/>
      <c r="G219" s="132"/>
      <c r="H219" s="132"/>
      <c r="I219" s="132"/>
      <c r="J219" s="57"/>
      <c r="K219" s="57"/>
      <c r="L219" s="57"/>
      <c r="M219" s="57"/>
      <c r="N219" s="57"/>
    </row>
    <row r="220" spans="1:14" ht="16.5" x14ac:dyDescent="0.35">
      <c r="A220"/>
      <c r="B220"/>
      <c r="C220"/>
      <c r="D220"/>
      <c r="E220" s="132"/>
      <c r="F220" s="152"/>
      <c r="G220" s="132"/>
      <c r="H220" s="132"/>
      <c r="I220" s="132"/>
      <c r="J220" s="57"/>
      <c r="K220" s="57"/>
      <c r="L220" s="57"/>
      <c r="M220" s="57"/>
      <c r="N220" s="57"/>
    </row>
    <row r="221" spans="1:14" ht="16.5" x14ac:dyDescent="0.35">
      <c r="A221"/>
      <c r="B221"/>
      <c r="C221"/>
      <c r="D221"/>
      <c r="E221" s="132"/>
      <c r="F221" s="152"/>
      <c r="G221" s="132"/>
      <c r="H221" s="132"/>
      <c r="I221" s="132"/>
      <c r="J221" s="57"/>
      <c r="K221" s="57"/>
      <c r="L221" s="57"/>
      <c r="M221" s="57"/>
      <c r="N221" s="57"/>
    </row>
    <row r="222" spans="1:14" ht="16.5" x14ac:dyDescent="0.35">
      <c r="A222"/>
      <c r="B222"/>
      <c r="C222"/>
      <c r="D222"/>
      <c r="E222" s="132"/>
      <c r="F222" s="152"/>
      <c r="G222" s="132"/>
      <c r="H222" s="132"/>
      <c r="I222" s="132"/>
      <c r="J222" s="57"/>
      <c r="K222" s="57"/>
      <c r="L222" s="57"/>
      <c r="M222" s="57"/>
      <c r="N222" s="57"/>
    </row>
    <row r="223" spans="1:14" ht="16.5" x14ac:dyDescent="0.35">
      <c r="A223"/>
      <c r="B223"/>
      <c r="C223"/>
      <c r="D223"/>
      <c r="E223" s="132"/>
      <c r="F223" s="152"/>
      <c r="G223" s="132"/>
      <c r="H223" s="132"/>
      <c r="I223" s="132"/>
      <c r="J223" s="57"/>
      <c r="K223" s="57"/>
      <c r="L223" s="57"/>
      <c r="M223" s="57"/>
      <c r="N223" s="57"/>
    </row>
    <row r="224" spans="1:14" ht="16.5" x14ac:dyDescent="0.35">
      <c r="A224"/>
      <c r="B224"/>
      <c r="C224"/>
      <c r="D224"/>
      <c r="E224" s="132"/>
      <c r="F224" s="152"/>
      <c r="G224" s="132"/>
      <c r="H224" s="132"/>
      <c r="I224" s="132"/>
      <c r="J224" s="57"/>
      <c r="K224" s="57"/>
      <c r="L224" s="57"/>
      <c r="M224" s="57"/>
      <c r="N224" s="57"/>
    </row>
    <row r="225" spans="1:14" ht="16.5" x14ac:dyDescent="0.35">
      <c r="A225"/>
      <c r="B225"/>
      <c r="C225"/>
      <c r="D225"/>
      <c r="E225" s="132"/>
      <c r="F225" s="152"/>
      <c r="G225" s="132"/>
      <c r="H225" s="132"/>
      <c r="I225" s="132"/>
      <c r="J225" s="57"/>
      <c r="K225" s="57"/>
      <c r="L225" s="57"/>
      <c r="M225" s="57"/>
      <c r="N225" s="57"/>
    </row>
    <row r="226" spans="1:14" ht="16.5" x14ac:dyDescent="0.35">
      <c r="A226"/>
      <c r="B226"/>
      <c r="C226"/>
      <c r="D226"/>
      <c r="E226" s="132"/>
      <c r="F226" s="152"/>
      <c r="G226" s="132"/>
      <c r="H226" s="132"/>
      <c r="I226" s="132"/>
      <c r="J226" s="57"/>
      <c r="K226" s="57"/>
      <c r="L226" s="57"/>
      <c r="M226" s="57"/>
      <c r="N226" s="57"/>
    </row>
    <row r="227" spans="1:14" ht="16.5" x14ac:dyDescent="0.35">
      <c r="A227"/>
      <c r="B227"/>
      <c r="C227"/>
      <c r="D227"/>
      <c r="E227" s="132"/>
      <c r="F227" s="152"/>
      <c r="G227" s="132"/>
      <c r="H227" s="132"/>
      <c r="I227" s="132"/>
      <c r="J227" s="57"/>
      <c r="K227" s="57"/>
      <c r="L227" s="57"/>
      <c r="M227" s="57"/>
      <c r="N227" s="57"/>
    </row>
    <row r="228" spans="1:14" ht="16.5" x14ac:dyDescent="0.35">
      <c r="A228"/>
      <c r="B228"/>
      <c r="C228"/>
      <c r="D228"/>
      <c r="E228" s="132"/>
      <c r="F228" s="152"/>
      <c r="G228" s="132"/>
      <c r="H228" s="132"/>
      <c r="I228" s="132"/>
      <c r="J228" s="57"/>
      <c r="K228" s="57"/>
      <c r="L228" s="57"/>
      <c r="M228" s="57"/>
      <c r="N228" s="57"/>
    </row>
    <row r="229" spans="1:14" ht="16.5" x14ac:dyDescent="0.35">
      <c r="A229"/>
      <c r="B229"/>
      <c r="C229"/>
      <c r="D229"/>
      <c r="E229" s="132"/>
      <c r="F229" s="152"/>
      <c r="G229" s="132"/>
      <c r="H229" s="132"/>
      <c r="I229" s="132"/>
      <c r="J229" s="57"/>
      <c r="K229" s="57"/>
      <c r="L229" s="57"/>
      <c r="M229" s="57"/>
      <c r="N229" s="57"/>
    </row>
    <row r="230" spans="1:14" ht="16.5" x14ac:dyDescent="0.35">
      <c r="A230"/>
      <c r="B230"/>
      <c r="C230"/>
      <c r="D230"/>
      <c r="E230" s="132"/>
      <c r="F230" s="152"/>
      <c r="G230" s="132"/>
      <c r="H230" s="132"/>
      <c r="I230" s="132"/>
      <c r="J230" s="57"/>
      <c r="K230" s="57"/>
      <c r="L230" s="57"/>
      <c r="M230" s="57"/>
      <c r="N230" s="57"/>
    </row>
    <row r="231" spans="1:14" ht="18" x14ac:dyDescent="0.45">
      <c r="A231" s="153"/>
      <c r="B231" s="154"/>
      <c r="C231" s="154"/>
      <c r="D231" s="154"/>
      <c r="E231" s="154"/>
      <c r="F231" s="155"/>
      <c r="G231" s="154"/>
      <c r="H231" s="154"/>
      <c r="I231" s="154"/>
      <c r="J231" s="57"/>
      <c r="K231" s="57"/>
      <c r="L231" s="57"/>
      <c r="M231" s="57"/>
      <c r="N231" s="57"/>
    </row>
    <row r="232" spans="1:14" ht="15" x14ac:dyDescent="0.35">
      <c r="A232" s="58"/>
      <c r="B232" s="57"/>
      <c r="C232" s="57"/>
      <c r="D232" s="57"/>
      <c r="E232" s="57"/>
      <c r="F232" s="59"/>
      <c r="G232" s="57"/>
      <c r="H232" s="57"/>
      <c r="I232" s="57"/>
      <c r="J232" s="57"/>
      <c r="K232" s="57"/>
      <c r="L232" s="57"/>
      <c r="M232" s="57"/>
      <c r="N232" s="57"/>
    </row>
    <row r="233" spans="1:14" ht="15" x14ac:dyDescent="0.35">
      <c r="A233" s="58"/>
      <c r="B233" s="57"/>
      <c r="C233" s="57"/>
      <c r="D233" s="57"/>
      <c r="E233" s="57"/>
      <c r="F233" s="59"/>
      <c r="G233" s="57"/>
      <c r="H233" s="57"/>
      <c r="I233" s="57"/>
      <c r="J233" s="57"/>
      <c r="K233" s="57"/>
      <c r="L233" s="57"/>
      <c r="M233" s="57"/>
      <c r="N233" s="57"/>
    </row>
    <row r="234" spans="1:14" ht="15" x14ac:dyDescent="0.35">
      <c r="A234" s="58"/>
      <c r="B234" s="57"/>
      <c r="C234" s="57"/>
      <c r="D234" s="57"/>
      <c r="E234" s="57"/>
      <c r="F234" s="59"/>
      <c r="G234" s="57"/>
      <c r="H234" s="57"/>
      <c r="I234" s="57"/>
      <c r="J234" s="57"/>
      <c r="K234" s="57"/>
      <c r="L234" s="57"/>
      <c r="M234" s="57"/>
      <c r="N234" s="57"/>
    </row>
    <row r="235" spans="1:14" ht="15" x14ac:dyDescent="0.35">
      <c r="A235" s="58"/>
      <c r="B235" s="57"/>
      <c r="C235" s="57"/>
      <c r="D235" s="57"/>
      <c r="E235" s="57"/>
      <c r="F235" s="59"/>
      <c r="G235" s="57"/>
      <c r="H235" s="57"/>
      <c r="I235" s="57"/>
      <c r="J235" s="57"/>
      <c r="K235" s="57"/>
      <c r="L235" s="57"/>
      <c r="M235" s="57"/>
      <c r="N235" s="57"/>
    </row>
    <row r="236" spans="1:14" ht="15" x14ac:dyDescent="0.35">
      <c r="A236" s="58"/>
      <c r="B236" s="57"/>
      <c r="C236" s="57"/>
      <c r="D236" s="57"/>
      <c r="E236" s="57"/>
      <c r="F236" s="59"/>
      <c r="G236" s="57"/>
      <c r="H236" s="57"/>
      <c r="I236" s="57"/>
      <c r="J236" s="57"/>
      <c r="K236" s="57"/>
      <c r="L236" s="57"/>
      <c r="M236" s="57"/>
      <c r="N236" s="57"/>
    </row>
    <row r="237" spans="1:14" ht="15" x14ac:dyDescent="0.35">
      <c r="A237" s="58"/>
      <c r="B237" s="57"/>
      <c r="C237" s="57"/>
      <c r="D237" s="57"/>
      <c r="E237" s="57"/>
      <c r="F237" s="59"/>
      <c r="G237" s="57"/>
      <c r="H237" s="57"/>
      <c r="I237" s="57"/>
      <c r="J237" s="57"/>
      <c r="K237" s="57"/>
      <c r="L237" s="57"/>
      <c r="M237" s="57"/>
      <c r="N237" s="57"/>
    </row>
    <row r="238" spans="1:14" ht="15" x14ac:dyDescent="0.35">
      <c r="A238" s="58"/>
      <c r="B238" s="57"/>
      <c r="C238" s="57"/>
      <c r="D238" s="57"/>
      <c r="E238" s="57"/>
      <c r="F238" s="59"/>
      <c r="G238" s="57"/>
      <c r="H238" s="57"/>
      <c r="I238" s="57"/>
      <c r="J238" s="57"/>
      <c r="K238" s="57"/>
      <c r="L238" s="57"/>
      <c r="M238" s="57"/>
      <c r="N238" s="57"/>
    </row>
    <row r="239" spans="1:14" ht="15" x14ac:dyDescent="0.35">
      <c r="A239" s="58"/>
      <c r="B239" s="57"/>
      <c r="C239" s="57"/>
      <c r="D239" s="57"/>
      <c r="E239" s="57"/>
      <c r="F239" s="59"/>
      <c r="G239" s="57"/>
      <c r="H239" s="57"/>
      <c r="I239" s="57"/>
      <c r="J239" s="57"/>
      <c r="K239" s="57"/>
      <c r="L239" s="57"/>
      <c r="M239" s="57"/>
      <c r="N239" s="57"/>
    </row>
    <row r="240" spans="1:14" ht="15" x14ac:dyDescent="0.35">
      <c r="A240" s="58"/>
      <c r="B240" s="57"/>
      <c r="C240" s="57"/>
      <c r="D240" s="57"/>
      <c r="E240" s="57"/>
      <c r="F240" s="59"/>
      <c r="G240" s="57"/>
      <c r="H240" s="57"/>
      <c r="I240" s="57"/>
      <c r="J240" s="57"/>
      <c r="K240" s="57"/>
      <c r="L240" s="57"/>
      <c r="M240" s="57"/>
      <c r="N240" s="57"/>
    </row>
    <row r="241" spans="1:14" ht="15" x14ac:dyDescent="0.35">
      <c r="A241" s="58"/>
      <c r="B241" s="57"/>
      <c r="C241" s="57"/>
      <c r="D241" s="57"/>
      <c r="E241" s="57"/>
      <c r="F241" s="59"/>
      <c r="G241" s="57"/>
      <c r="H241" s="57"/>
      <c r="I241" s="57"/>
      <c r="J241" s="57"/>
      <c r="K241" s="57"/>
      <c r="L241" s="57"/>
      <c r="M241" s="57"/>
      <c r="N241" s="57"/>
    </row>
    <row r="242" spans="1:14" ht="15" x14ac:dyDescent="0.35">
      <c r="A242" s="58"/>
      <c r="B242" s="57"/>
      <c r="C242" s="57"/>
      <c r="D242" s="57"/>
      <c r="E242" s="57"/>
      <c r="F242" s="59"/>
      <c r="G242" s="57"/>
      <c r="H242" s="57"/>
      <c r="I242" s="57"/>
      <c r="J242" s="57"/>
      <c r="K242" s="57"/>
      <c r="L242" s="57"/>
      <c r="M242" s="57"/>
      <c r="N242" s="57"/>
    </row>
    <row r="243" spans="1:14" ht="15" x14ac:dyDescent="0.35">
      <c r="A243" s="58"/>
      <c r="B243" s="57"/>
      <c r="C243" s="57"/>
      <c r="D243" s="57"/>
      <c r="E243" s="57"/>
      <c r="F243" s="59"/>
      <c r="G243" s="57"/>
      <c r="H243" s="57"/>
      <c r="I243" s="57"/>
      <c r="J243" s="57"/>
      <c r="K243" s="57"/>
      <c r="L243" s="57"/>
      <c r="M243" s="57"/>
      <c r="N243" s="57"/>
    </row>
    <row r="244" spans="1:14" ht="15" x14ac:dyDescent="0.35">
      <c r="A244" s="58"/>
      <c r="B244" s="57"/>
      <c r="C244" s="57"/>
      <c r="D244" s="57"/>
      <c r="E244" s="57"/>
      <c r="F244" s="59"/>
      <c r="G244" s="57"/>
      <c r="H244" s="57"/>
      <c r="I244" s="57"/>
      <c r="J244" s="57"/>
      <c r="K244" s="57"/>
      <c r="L244" s="57"/>
      <c r="M244" s="57"/>
      <c r="N244" s="57"/>
    </row>
    <row r="245" spans="1:14" ht="15" x14ac:dyDescent="0.35">
      <c r="A245" s="58"/>
      <c r="B245" s="57"/>
      <c r="C245" s="57"/>
      <c r="D245" s="57"/>
      <c r="E245" s="57"/>
      <c r="F245" s="59"/>
      <c r="G245" s="57"/>
      <c r="H245" s="57"/>
      <c r="I245" s="57"/>
      <c r="J245" s="57"/>
      <c r="K245" s="57"/>
      <c r="L245" s="57"/>
      <c r="M245" s="57"/>
      <c r="N245" s="57"/>
    </row>
    <row r="246" spans="1:14" ht="15" x14ac:dyDescent="0.35">
      <c r="A246" s="58"/>
      <c r="B246" s="57"/>
      <c r="C246" s="57"/>
      <c r="D246" s="57"/>
      <c r="E246" s="57"/>
      <c r="F246" s="59"/>
      <c r="G246" s="57"/>
      <c r="H246" s="57"/>
      <c r="I246" s="57"/>
      <c r="J246" s="57"/>
      <c r="K246" s="57"/>
      <c r="L246" s="57"/>
      <c r="M246" s="57"/>
      <c r="N246" s="57"/>
    </row>
    <row r="247" spans="1:14" ht="15" x14ac:dyDescent="0.35">
      <c r="A247" s="58"/>
      <c r="B247" s="57"/>
      <c r="C247" s="57"/>
      <c r="D247" s="57"/>
      <c r="E247" s="57"/>
      <c r="F247" s="59"/>
      <c r="G247" s="57"/>
      <c r="H247" s="57"/>
      <c r="I247" s="57"/>
      <c r="J247" s="57"/>
      <c r="K247" s="57"/>
      <c r="L247" s="57"/>
      <c r="M247" s="57"/>
      <c r="N247" s="57"/>
    </row>
    <row r="248" spans="1:14" ht="15" x14ac:dyDescent="0.35">
      <c r="A248" s="58"/>
      <c r="B248" s="57"/>
      <c r="C248" s="57"/>
      <c r="D248" s="57"/>
      <c r="E248" s="57"/>
      <c r="F248" s="59"/>
      <c r="G248" s="57"/>
      <c r="H248" s="57"/>
      <c r="I248" s="57"/>
      <c r="J248" s="57"/>
      <c r="K248" s="57"/>
      <c r="L248" s="57"/>
      <c r="M248" s="57"/>
      <c r="N248" s="57"/>
    </row>
    <row r="249" spans="1:14" ht="15" x14ac:dyDescent="0.35">
      <c r="A249" s="58"/>
      <c r="B249" s="57"/>
      <c r="C249" s="57"/>
      <c r="D249" s="57"/>
      <c r="E249" s="57"/>
      <c r="F249" s="59"/>
      <c r="G249" s="57"/>
      <c r="H249" s="57"/>
      <c r="I249" s="57"/>
      <c r="J249" s="57"/>
      <c r="K249" s="57"/>
      <c r="L249" s="57"/>
      <c r="M249" s="57"/>
      <c r="N249" s="57"/>
    </row>
    <row r="250" spans="1:14" ht="15" x14ac:dyDescent="0.35">
      <c r="A250" s="58"/>
      <c r="B250" s="57"/>
      <c r="C250" s="57"/>
      <c r="D250" s="57"/>
      <c r="E250" s="57"/>
      <c r="F250" s="59"/>
      <c r="G250" s="57"/>
      <c r="H250" s="57"/>
      <c r="I250" s="57"/>
      <c r="J250" s="57"/>
      <c r="K250" s="57"/>
      <c r="L250" s="57"/>
      <c r="M250" s="57"/>
      <c r="N250" s="57"/>
    </row>
    <row r="251" spans="1:14" ht="15" x14ac:dyDescent="0.35">
      <c r="A251" s="58"/>
      <c r="B251" s="57"/>
      <c r="C251" s="57"/>
      <c r="D251" s="57"/>
      <c r="E251" s="57"/>
      <c r="F251" s="59"/>
      <c r="G251" s="57"/>
      <c r="H251" s="57"/>
      <c r="I251" s="57"/>
      <c r="J251" s="57"/>
      <c r="K251" s="57"/>
      <c r="L251" s="57"/>
      <c r="M251" s="57"/>
      <c r="N251" s="57"/>
    </row>
    <row r="252" spans="1:14" ht="15" x14ac:dyDescent="0.35">
      <c r="A252" s="58"/>
      <c r="B252" s="57"/>
      <c r="C252" s="57"/>
      <c r="D252" s="57"/>
      <c r="E252" s="57"/>
      <c r="F252" s="59"/>
      <c r="G252" s="57"/>
      <c r="H252" s="57"/>
      <c r="I252" s="57"/>
      <c r="J252" s="57"/>
      <c r="K252" s="57"/>
      <c r="L252" s="57"/>
      <c r="M252" s="57"/>
      <c r="N252" s="57"/>
    </row>
    <row r="253" spans="1:14" ht="15" x14ac:dyDescent="0.35">
      <c r="A253" s="58"/>
      <c r="B253" s="57"/>
      <c r="C253" s="57"/>
      <c r="D253" s="57"/>
      <c r="E253" s="57"/>
      <c r="F253" s="59"/>
      <c r="G253" s="57"/>
      <c r="H253" s="57"/>
      <c r="I253" s="57"/>
      <c r="J253" s="57"/>
      <c r="K253" s="57"/>
      <c r="L253" s="57"/>
      <c r="M253" s="57"/>
      <c r="N253" s="57"/>
    </row>
    <row r="254" spans="1:14" ht="15" x14ac:dyDescent="0.35">
      <c r="A254" s="58"/>
      <c r="B254" s="57"/>
      <c r="C254" s="57"/>
      <c r="D254" s="57"/>
      <c r="E254" s="57"/>
      <c r="F254" s="59"/>
      <c r="G254" s="57"/>
      <c r="H254" s="57"/>
      <c r="I254" s="57"/>
      <c r="J254" s="57"/>
      <c r="K254" s="57"/>
      <c r="L254" s="57"/>
      <c r="M254" s="57"/>
      <c r="N254" s="57"/>
    </row>
    <row r="255" spans="1:14" ht="15" x14ac:dyDescent="0.35">
      <c r="A255" s="58"/>
      <c r="B255" s="57"/>
      <c r="C255" s="57"/>
      <c r="D255" s="57"/>
      <c r="E255" s="57"/>
      <c r="F255" s="59"/>
      <c r="G255" s="57"/>
      <c r="H255" s="57"/>
      <c r="I255" s="57"/>
      <c r="J255" s="57"/>
      <c r="K255" s="57"/>
      <c r="L255" s="57"/>
      <c r="M255" s="57"/>
      <c r="N255" s="57"/>
    </row>
    <row r="256" spans="1:14" ht="15" x14ac:dyDescent="0.35">
      <c r="A256" s="58"/>
      <c r="B256" s="57"/>
      <c r="C256" s="57"/>
      <c r="D256" s="57"/>
      <c r="E256" s="57"/>
      <c r="F256" s="59"/>
      <c r="G256" s="57"/>
      <c r="H256" s="57"/>
      <c r="I256" s="57"/>
      <c r="J256" s="57"/>
      <c r="K256" s="57"/>
      <c r="L256" s="57"/>
      <c r="M256" s="57"/>
      <c r="N256" s="57"/>
    </row>
    <row r="257" spans="1:14" ht="15" x14ac:dyDescent="0.35">
      <c r="A257" s="58"/>
      <c r="B257" s="57"/>
      <c r="C257" s="57"/>
      <c r="D257" s="57"/>
      <c r="E257" s="57"/>
      <c r="F257" s="59"/>
      <c r="G257" s="57"/>
      <c r="H257" s="57"/>
      <c r="I257" s="57"/>
      <c r="J257" s="57"/>
      <c r="K257" s="57"/>
      <c r="L257" s="57"/>
      <c r="M257" s="57"/>
      <c r="N257" s="57"/>
    </row>
    <row r="258" spans="1:14" ht="15" x14ac:dyDescent="0.35">
      <c r="A258" s="58"/>
      <c r="B258" s="57"/>
      <c r="C258" s="57"/>
      <c r="D258" s="57"/>
      <c r="E258" s="57"/>
      <c r="F258" s="59"/>
      <c r="G258" s="57"/>
      <c r="H258" s="57"/>
      <c r="I258" s="57"/>
      <c r="J258" s="57"/>
      <c r="K258" s="57"/>
      <c r="L258" s="57"/>
      <c r="M258" s="57"/>
      <c r="N258" s="57"/>
    </row>
    <row r="259" spans="1:14" ht="15" x14ac:dyDescent="0.35">
      <c r="A259" s="58"/>
      <c r="B259" s="57"/>
      <c r="C259" s="57"/>
      <c r="D259" s="57"/>
      <c r="E259" s="57"/>
      <c r="F259" s="59"/>
      <c r="G259" s="57"/>
      <c r="H259" s="57"/>
      <c r="I259" s="57"/>
      <c r="J259" s="57"/>
      <c r="K259" s="57"/>
      <c r="L259" s="57"/>
      <c r="M259" s="57"/>
      <c r="N259" s="57"/>
    </row>
    <row r="260" spans="1:14" ht="15" x14ac:dyDescent="0.35">
      <c r="A260" s="58"/>
      <c r="B260" s="57"/>
      <c r="C260" s="57"/>
      <c r="D260" s="57"/>
      <c r="E260" s="57"/>
      <c r="F260" s="59"/>
      <c r="G260" s="57"/>
      <c r="H260" s="57"/>
      <c r="I260" s="57"/>
      <c r="J260" s="57"/>
      <c r="K260" s="57"/>
      <c r="L260" s="57"/>
      <c r="M260" s="57"/>
      <c r="N260" s="57"/>
    </row>
    <row r="261" spans="1:14" ht="15" x14ac:dyDescent="0.35">
      <c r="A261" s="58"/>
      <c r="B261" s="57"/>
      <c r="C261" s="57"/>
      <c r="D261" s="57"/>
      <c r="E261" s="57"/>
      <c r="F261" s="59"/>
      <c r="G261" s="57"/>
      <c r="H261" s="57"/>
      <c r="I261" s="57"/>
      <c r="J261" s="57"/>
      <c r="K261" s="57"/>
      <c r="L261" s="57"/>
      <c r="M261" s="57"/>
      <c r="N261" s="57"/>
    </row>
    <row r="262" spans="1:14" ht="15" x14ac:dyDescent="0.35">
      <c r="A262" s="58"/>
      <c r="B262" s="57"/>
      <c r="C262" s="57"/>
      <c r="D262" s="57"/>
      <c r="E262" s="57"/>
      <c r="F262" s="59"/>
      <c r="G262" s="57"/>
      <c r="H262" s="57"/>
      <c r="I262" s="57"/>
      <c r="J262" s="57"/>
      <c r="K262" s="57"/>
      <c r="L262" s="57"/>
      <c r="M262" s="57"/>
      <c r="N262" s="57"/>
    </row>
    <row r="263" spans="1:14" ht="15" x14ac:dyDescent="0.35">
      <c r="A263" s="58"/>
      <c r="B263" s="57"/>
      <c r="C263" s="57"/>
      <c r="D263" s="57"/>
      <c r="E263" s="57"/>
      <c r="F263" s="59"/>
      <c r="G263" s="57"/>
      <c r="H263" s="57"/>
      <c r="I263" s="57"/>
      <c r="J263" s="57"/>
      <c r="K263" s="57"/>
      <c r="L263" s="57"/>
      <c r="M263" s="57"/>
      <c r="N263" s="57"/>
    </row>
    <row r="264" spans="1:14" ht="15" x14ac:dyDescent="0.35">
      <c r="A264" s="58"/>
      <c r="B264" s="57"/>
      <c r="C264" s="57"/>
      <c r="D264" s="57"/>
      <c r="E264" s="57"/>
      <c r="F264" s="59"/>
      <c r="G264" s="57"/>
      <c r="H264" s="57"/>
      <c r="I264" s="57"/>
      <c r="J264" s="57"/>
      <c r="K264" s="57"/>
      <c r="L264" s="57"/>
      <c r="M264" s="57"/>
      <c r="N264" s="57"/>
    </row>
    <row r="265" spans="1:14" ht="15" x14ac:dyDescent="0.35">
      <c r="A265" s="58"/>
      <c r="B265" s="57"/>
      <c r="C265" s="57"/>
      <c r="D265" s="57"/>
      <c r="E265" s="57"/>
      <c r="F265" s="59"/>
      <c r="G265" s="57"/>
      <c r="H265" s="57"/>
      <c r="I265" s="57"/>
      <c r="J265" s="57"/>
      <c r="K265" s="57"/>
      <c r="L265" s="57"/>
      <c r="M265" s="57"/>
      <c r="N265" s="57"/>
    </row>
    <row r="266" spans="1:14" ht="15" x14ac:dyDescent="0.35">
      <c r="A266" s="58"/>
      <c r="B266" s="57"/>
      <c r="C266" s="57"/>
      <c r="D266" s="57"/>
      <c r="E266" s="57"/>
      <c r="F266" s="59"/>
      <c r="G266" s="57"/>
      <c r="H266" s="57"/>
      <c r="I266" s="57"/>
      <c r="J266" s="57"/>
      <c r="K266" s="57"/>
      <c r="L266" s="57"/>
      <c r="M266" s="57"/>
      <c r="N266" s="57"/>
    </row>
    <row r="267" spans="1:14" ht="15" x14ac:dyDescent="0.35">
      <c r="A267" s="58"/>
      <c r="B267" s="57"/>
      <c r="C267" s="57"/>
      <c r="D267" s="57"/>
      <c r="E267" s="57"/>
      <c r="F267" s="59"/>
      <c r="G267" s="57"/>
      <c r="H267" s="57"/>
      <c r="I267" s="57"/>
      <c r="J267" s="57"/>
      <c r="K267" s="57"/>
      <c r="L267" s="57"/>
      <c r="M267" s="57"/>
      <c r="N267" s="57"/>
    </row>
    <row r="268" spans="1:14" ht="15" x14ac:dyDescent="0.35">
      <c r="A268" s="58"/>
      <c r="B268" s="57"/>
      <c r="C268" s="57"/>
      <c r="D268" s="57"/>
      <c r="E268" s="57"/>
      <c r="F268" s="59"/>
      <c r="G268" s="57"/>
      <c r="H268" s="57"/>
      <c r="I268" s="57"/>
      <c r="J268" s="57"/>
      <c r="K268" s="57"/>
      <c r="L268" s="57"/>
      <c r="M268" s="57"/>
      <c r="N268" s="57"/>
    </row>
    <row r="269" spans="1:14" ht="15" x14ac:dyDescent="0.35">
      <c r="A269" s="58"/>
      <c r="B269" s="57"/>
      <c r="C269" s="57"/>
      <c r="D269" s="57"/>
      <c r="E269" s="57"/>
      <c r="F269" s="59"/>
      <c r="G269" s="57"/>
      <c r="H269" s="57"/>
      <c r="I269" s="57"/>
      <c r="J269" s="57"/>
      <c r="K269" s="57"/>
      <c r="L269" s="57"/>
      <c r="M269" s="57"/>
      <c r="N269" s="57"/>
    </row>
    <row r="270" spans="1:14" ht="15" x14ac:dyDescent="0.35">
      <c r="A270" s="58"/>
      <c r="B270" s="57"/>
      <c r="C270" s="57"/>
      <c r="D270" s="57"/>
      <c r="E270" s="57"/>
      <c r="F270" s="59"/>
      <c r="G270" s="57"/>
      <c r="H270" s="57"/>
      <c r="I270" s="57"/>
      <c r="J270" s="57"/>
      <c r="K270" s="57"/>
      <c r="L270" s="57"/>
      <c r="M270" s="57"/>
      <c r="N270" s="57"/>
    </row>
    <row r="271" spans="1:14" ht="15" x14ac:dyDescent="0.35">
      <c r="A271" s="58"/>
      <c r="B271" s="57"/>
      <c r="C271" s="57"/>
      <c r="D271" s="57"/>
      <c r="E271" s="57"/>
      <c r="F271" s="59"/>
      <c r="G271" s="57"/>
      <c r="H271" s="57"/>
      <c r="I271" s="57"/>
      <c r="J271" s="57"/>
      <c r="K271" s="57"/>
      <c r="L271" s="57"/>
      <c r="M271" s="57"/>
      <c r="N271" s="57"/>
    </row>
    <row r="272" spans="1:14" ht="15" x14ac:dyDescent="0.35">
      <c r="A272" s="58"/>
      <c r="B272" s="57"/>
      <c r="C272" s="57"/>
      <c r="D272" s="57"/>
      <c r="E272" s="57"/>
      <c r="F272" s="59"/>
      <c r="G272" s="57"/>
      <c r="H272" s="57"/>
      <c r="I272" s="57"/>
      <c r="J272" s="57"/>
      <c r="K272" s="57"/>
      <c r="L272" s="57"/>
      <c r="M272" s="57"/>
      <c r="N272" s="57"/>
    </row>
    <row r="273" spans="1:14" ht="15" x14ac:dyDescent="0.35">
      <c r="A273" s="58"/>
      <c r="B273" s="57"/>
      <c r="C273" s="57"/>
      <c r="D273" s="57"/>
      <c r="E273" s="57"/>
      <c r="F273" s="59"/>
      <c r="G273" s="57"/>
      <c r="H273" s="57"/>
      <c r="I273" s="57"/>
      <c r="J273" s="57"/>
      <c r="K273" s="57"/>
      <c r="L273" s="57"/>
      <c r="M273" s="57"/>
      <c r="N273" s="57"/>
    </row>
    <row r="274" spans="1:14" ht="15" x14ac:dyDescent="0.35">
      <c r="A274" s="58"/>
      <c r="B274" s="57"/>
      <c r="C274" s="57"/>
      <c r="D274" s="57"/>
      <c r="E274" s="57"/>
      <c r="F274" s="59"/>
      <c r="G274" s="57"/>
      <c r="H274" s="57"/>
      <c r="I274" s="57"/>
      <c r="J274" s="57"/>
      <c r="K274" s="57"/>
      <c r="L274" s="57"/>
      <c r="M274" s="57"/>
      <c r="N274" s="57"/>
    </row>
    <row r="275" spans="1:14" ht="15" x14ac:dyDescent="0.35">
      <c r="A275" s="58"/>
      <c r="B275" s="57"/>
      <c r="C275" s="57"/>
      <c r="D275" s="57"/>
      <c r="E275" s="57"/>
      <c r="F275" s="59"/>
      <c r="G275" s="57"/>
      <c r="H275" s="57"/>
      <c r="I275" s="57"/>
      <c r="J275" s="57"/>
      <c r="K275" s="57"/>
      <c r="L275" s="57"/>
      <c r="M275" s="57"/>
      <c r="N275" s="57"/>
    </row>
    <row r="276" spans="1:14" ht="15" x14ac:dyDescent="0.35">
      <c r="A276" s="58"/>
      <c r="B276" s="57"/>
      <c r="C276" s="57"/>
      <c r="D276" s="57"/>
      <c r="E276" s="57"/>
      <c r="F276" s="59"/>
      <c r="G276" s="57"/>
      <c r="H276" s="57"/>
      <c r="I276" s="57"/>
      <c r="J276" s="57"/>
      <c r="K276" s="57"/>
      <c r="L276" s="57"/>
      <c r="M276" s="57"/>
      <c r="N276" s="57"/>
    </row>
    <row r="277" spans="1:14" ht="15" x14ac:dyDescent="0.35">
      <c r="A277" s="58"/>
      <c r="B277" s="57"/>
      <c r="C277" s="57"/>
      <c r="D277" s="57"/>
      <c r="E277" s="57"/>
      <c r="F277" s="59"/>
      <c r="G277" s="57"/>
      <c r="H277" s="57"/>
      <c r="I277" s="57"/>
      <c r="J277" s="57"/>
      <c r="K277" s="57"/>
      <c r="L277" s="57"/>
      <c r="M277" s="57"/>
      <c r="N277" s="57"/>
    </row>
    <row r="278" spans="1:14" ht="15" x14ac:dyDescent="0.35">
      <c r="A278" s="58"/>
      <c r="B278" s="57"/>
      <c r="C278" s="57"/>
      <c r="D278" s="57"/>
      <c r="E278" s="57"/>
      <c r="F278" s="59"/>
      <c r="G278" s="57"/>
      <c r="H278" s="57"/>
      <c r="I278" s="57"/>
      <c r="J278" s="57"/>
      <c r="K278" s="57"/>
      <c r="L278" s="57"/>
      <c r="M278" s="57"/>
      <c r="N278" s="57"/>
    </row>
    <row r="279" spans="1:14" ht="15" x14ac:dyDescent="0.35">
      <c r="A279" s="58"/>
      <c r="B279" s="57"/>
      <c r="C279" s="57"/>
      <c r="D279" s="57"/>
      <c r="E279" s="57"/>
      <c r="F279" s="59"/>
      <c r="G279" s="57"/>
      <c r="H279" s="57"/>
      <c r="I279" s="57"/>
      <c r="J279" s="57"/>
      <c r="K279" s="57"/>
      <c r="L279" s="57"/>
      <c r="M279" s="57"/>
      <c r="N279" s="57"/>
    </row>
    <row r="280" spans="1:14" ht="15" x14ac:dyDescent="0.35">
      <c r="A280" s="58"/>
      <c r="B280" s="57"/>
      <c r="C280" s="57"/>
      <c r="D280" s="57"/>
      <c r="E280" s="57"/>
      <c r="F280" s="59"/>
      <c r="G280" s="57"/>
      <c r="H280" s="57"/>
      <c r="I280" s="57"/>
      <c r="J280" s="57"/>
      <c r="K280" s="57"/>
      <c r="L280" s="57"/>
      <c r="M280" s="57"/>
      <c r="N280" s="57"/>
    </row>
    <row r="281" spans="1:14" ht="15" x14ac:dyDescent="0.35">
      <c r="A281" s="58"/>
      <c r="B281" s="57"/>
      <c r="C281" s="57"/>
      <c r="D281" s="57"/>
      <c r="E281" s="57"/>
      <c r="F281" s="59"/>
      <c r="G281" s="57"/>
      <c r="H281" s="57"/>
      <c r="I281" s="57"/>
      <c r="J281" s="57"/>
      <c r="K281" s="57"/>
      <c r="L281" s="57"/>
      <c r="M281" s="57"/>
      <c r="N281" s="57"/>
    </row>
    <row r="282" spans="1:14" ht="15" x14ac:dyDescent="0.35">
      <c r="A282" s="58"/>
      <c r="B282" s="57"/>
      <c r="C282" s="57"/>
      <c r="D282" s="57"/>
      <c r="E282" s="57"/>
      <c r="F282" s="59"/>
      <c r="G282" s="57"/>
      <c r="H282" s="57"/>
      <c r="I282" s="57"/>
      <c r="J282" s="57"/>
      <c r="K282" s="57"/>
      <c r="L282" s="57"/>
      <c r="M282" s="57"/>
      <c r="N282" s="57"/>
    </row>
    <row r="283" spans="1:14" ht="15" x14ac:dyDescent="0.35">
      <c r="A283" s="58"/>
      <c r="B283" s="57"/>
      <c r="C283" s="57"/>
      <c r="D283" s="57"/>
      <c r="E283" s="57"/>
      <c r="F283" s="59"/>
      <c r="G283" s="57"/>
      <c r="H283" s="57"/>
      <c r="I283" s="57"/>
      <c r="J283" s="57"/>
      <c r="K283" s="57"/>
      <c r="L283" s="57"/>
      <c r="M283" s="57"/>
      <c r="N283" s="57"/>
    </row>
    <row r="284" spans="1:14" ht="15" x14ac:dyDescent="0.35">
      <c r="A284" s="58"/>
      <c r="B284" s="57"/>
      <c r="C284" s="57"/>
      <c r="D284" s="57"/>
      <c r="E284" s="57"/>
      <c r="F284" s="59"/>
      <c r="G284" s="57"/>
      <c r="H284" s="57"/>
      <c r="I284" s="57"/>
      <c r="J284" s="57"/>
      <c r="K284" s="57"/>
      <c r="L284" s="57"/>
      <c r="M284" s="57"/>
      <c r="N284" s="57"/>
    </row>
    <row r="285" spans="1:14" ht="15" x14ac:dyDescent="0.35">
      <c r="A285" s="58"/>
      <c r="B285" s="57"/>
      <c r="C285" s="57"/>
      <c r="D285" s="57"/>
      <c r="E285" s="57"/>
      <c r="F285" s="59"/>
      <c r="G285" s="57"/>
      <c r="H285" s="57"/>
      <c r="I285" s="57"/>
      <c r="J285" s="57"/>
      <c r="K285" s="57"/>
      <c r="L285" s="57"/>
      <c r="M285" s="57"/>
      <c r="N285" s="57"/>
    </row>
    <row r="286" spans="1:14" ht="15" x14ac:dyDescent="0.35">
      <c r="A286" s="58"/>
      <c r="B286" s="57"/>
      <c r="C286" s="57"/>
      <c r="D286" s="57"/>
      <c r="E286" s="57"/>
      <c r="F286" s="59"/>
      <c r="G286" s="57"/>
      <c r="H286" s="57"/>
      <c r="I286" s="57"/>
      <c r="J286" s="57"/>
      <c r="K286" s="57"/>
      <c r="L286" s="57"/>
      <c r="M286" s="57"/>
      <c r="N286" s="57"/>
    </row>
    <row r="287" spans="1:14" ht="15" x14ac:dyDescent="0.35">
      <c r="A287" s="58"/>
      <c r="B287" s="57"/>
      <c r="C287" s="57"/>
      <c r="D287" s="57"/>
      <c r="E287" s="57"/>
      <c r="F287" s="59"/>
      <c r="G287" s="57"/>
      <c r="H287" s="57"/>
      <c r="I287" s="57"/>
      <c r="J287" s="57"/>
      <c r="K287" s="57"/>
      <c r="L287" s="57"/>
      <c r="M287" s="57"/>
      <c r="N287" s="57"/>
    </row>
    <row r="288" spans="1:14" ht="15" x14ac:dyDescent="0.35">
      <c r="A288" s="58"/>
      <c r="B288" s="57"/>
      <c r="C288" s="57"/>
      <c r="D288" s="57"/>
      <c r="E288" s="57"/>
      <c r="F288" s="59"/>
      <c r="G288" s="57"/>
      <c r="H288" s="57"/>
      <c r="I288" s="57"/>
      <c r="J288" s="57"/>
      <c r="K288" s="57"/>
      <c r="L288" s="57"/>
      <c r="M288" s="57"/>
      <c r="N288" s="57"/>
    </row>
    <row r="289" spans="1:14" ht="15" x14ac:dyDescent="0.35">
      <c r="A289" s="58"/>
      <c r="B289" s="57"/>
      <c r="C289" s="57"/>
      <c r="D289" s="57"/>
      <c r="E289" s="57"/>
      <c r="F289" s="59"/>
      <c r="G289" s="57"/>
      <c r="H289" s="57"/>
      <c r="I289" s="57"/>
      <c r="J289" s="57"/>
      <c r="K289" s="57"/>
      <c r="L289" s="57"/>
      <c r="M289" s="57"/>
      <c r="N289" s="57"/>
    </row>
    <row r="290" spans="1:14" ht="15" x14ac:dyDescent="0.35">
      <c r="A290" s="58"/>
      <c r="B290" s="57"/>
      <c r="C290" s="57"/>
      <c r="D290" s="57"/>
      <c r="E290" s="57"/>
      <c r="F290" s="59"/>
      <c r="G290" s="57"/>
      <c r="H290" s="57"/>
      <c r="I290" s="57"/>
      <c r="J290" s="57"/>
      <c r="K290" s="57"/>
      <c r="L290" s="57"/>
      <c r="M290" s="57"/>
      <c r="N290" s="57"/>
    </row>
    <row r="291" spans="1:14" ht="15" x14ac:dyDescent="0.35">
      <c r="A291" s="58"/>
      <c r="B291" s="57"/>
      <c r="C291" s="57"/>
      <c r="D291" s="57"/>
      <c r="E291" s="57"/>
      <c r="F291" s="59"/>
      <c r="G291" s="57"/>
      <c r="H291" s="57"/>
      <c r="I291" s="57"/>
      <c r="J291" s="57"/>
      <c r="K291" s="57"/>
      <c r="L291" s="57"/>
      <c r="M291" s="57"/>
      <c r="N291" s="57"/>
    </row>
    <row r="292" spans="1:14" ht="15" x14ac:dyDescent="0.35">
      <c r="A292" s="58"/>
      <c r="B292" s="57"/>
      <c r="C292" s="57"/>
      <c r="D292" s="57"/>
      <c r="E292" s="57"/>
      <c r="F292" s="59"/>
      <c r="G292" s="57"/>
      <c r="H292" s="57"/>
      <c r="I292" s="57"/>
      <c r="J292" s="57"/>
      <c r="K292" s="57"/>
      <c r="L292" s="57"/>
      <c r="M292" s="57"/>
      <c r="N292" s="57"/>
    </row>
    <row r="293" spans="1:14" ht="15" x14ac:dyDescent="0.35">
      <c r="A293" s="58"/>
      <c r="B293" s="57"/>
      <c r="C293" s="57"/>
      <c r="D293" s="57"/>
      <c r="E293" s="57"/>
      <c r="F293" s="59"/>
      <c r="G293" s="57"/>
      <c r="H293" s="57"/>
      <c r="I293" s="57"/>
      <c r="J293" s="57"/>
      <c r="K293" s="57"/>
      <c r="L293" s="57"/>
      <c r="M293" s="57"/>
      <c r="N293" s="57"/>
    </row>
    <row r="294" spans="1:14" ht="15" x14ac:dyDescent="0.35">
      <c r="A294" s="58"/>
      <c r="B294" s="57"/>
      <c r="C294" s="57"/>
      <c r="D294" s="57"/>
      <c r="E294" s="57"/>
      <c r="F294" s="59"/>
      <c r="G294" s="57"/>
      <c r="H294" s="57"/>
      <c r="I294" s="57"/>
      <c r="J294" s="57"/>
      <c r="K294" s="57"/>
      <c r="L294" s="57"/>
      <c r="M294" s="57"/>
      <c r="N294" s="57"/>
    </row>
    <row r="295" spans="1:14" ht="15" x14ac:dyDescent="0.35">
      <c r="A295" s="58"/>
      <c r="B295" s="57"/>
      <c r="C295" s="57"/>
      <c r="D295" s="57"/>
      <c r="E295" s="57"/>
      <c r="F295" s="59"/>
      <c r="G295" s="57"/>
      <c r="H295" s="57"/>
      <c r="I295" s="57"/>
      <c r="J295" s="57"/>
      <c r="K295" s="57"/>
      <c r="L295" s="57"/>
      <c r="M295" s="57"/>
      <c r="N295" s="57"/>
    </row>
    <row r="296" spans="1:14" ht="15" x14ac:dyDescent="0.35">
      <c r="A296" s="58"/>
      <c r="B296" s="57"/>
      <c r="C296" s="57"/>
      <c r="D296" s="57"/>
      <c r="E296" s="57"/>
      <c r="F296" s="59"/>
      <c r="G296" s="57"/>
      <c r="H296" s="57"/>
      <c r="I296" s="57"/>
      <c r="J296" s="57"/>
      <c r="K296" s="57"/>
      <c r="L296" s="57"/>
      <c r="M296" s="57"/>
      <c r="N296" s="57"/>
    </row>
    <row r="297" spans="1:14" ht="15" x14ac:dyDescent="0.35">
      <c r="A297" s="58"/>
      <c r="B297" s="57"/>
      <c r="C297" s="57"/>
      <c r="D297" s="57"/>
      <c r="E297" s="57"/>
      <c r="F297" s="59"/>
      <c r="G297" s="57"/>
      <c r="H297" s="57"/>
      <c r="I297" s="57"/>
      <c r="J297" s="57"/>
      <c r="K297" s="57"/>
      <c r="L297" s="57"/>
      <c r="M297" s="57"/>
      <c r="N297" s="57"/>
    </row>
    <row r="298" spans="1:14" ht="15" x14ac:dyDescent="0.35">
      <c r="A298" s="58"/>
      <c r="B298" s="57"/>
      <c r="C298" s="57"/>
      <c r="D298" s="57"/>
      <c r="E298" s="57"/>
      <c r="F298" s="59"/>
      <c r="G298" s="57"/>
      <c r="H298" s="57"/>
      <c r="I298" s="57"/>
      <c r="J298" s="57"/>
      <c r="K298" s="57"/>
      <c r="L298" s="57"/>
      <c r="M298" s="57"/>
      <c r="N298" s="57"/>
    </row>
    <row r="299" spans="1:14" ht="15" x14ac:dyDescent="0.35">
      <c r="A299" s="58"/>
      <c r="B299" s="57"/>
      <c r="C299" s="57"/>
      <c r="D299" s="57"/>
      <c r="E299" s="57"/>
      <c r="F299" s="59"/>
      <c r="G299" s="57"/>
      <c r="H299" s="57"/>
      <c r="I299" s="57"/>
      <c r="J299" s="57"/>
      <c r="K299" s="57"/>
      <c r="L299" s="57"/>
      <c r="M299" s="57"/>
      <c r="N299" s="57"/>
    </row>
    <row r="300" spans="1:14" ht="15" x14ac:dyDescent="0.35">
      <c r="A300" s="58"/>
      <c r="B300" s="57"/>
      <c r="C300" s="57"/>
      <c r="D300" s="57"/>
      <c r="E300" s="57"/>
      <c r="F300" s="59"/>
      <c r="G300" s="57"/>
      <c r="H300" s="57"/>
      <c r="I300" s="57"/>
      <c r="J300" s="57"/>
      <c r="K300" s="57"/>
      <c r="L300" s="57"/>
      <c r="M300" s="57"/>
      <c r="N300" s="57"/>
    </row>
    <row r="301" spans="1:14" ht="15" x14ac:dyDescent="0.35">
      <c r="A301" s="58"/>
      <c r="B301" s="57"/>
      <c r="C301" s="57"/>
      <c r="D301" s="57"/>
      <c r="E301" s="57"/>
      <c r="F301" s="59"/>
      <c r="G301" s="57"/>
      <c r="H301" s="57"/>
      <c r="I301" s="57"/>
      <c r="J301" s="57"/>
      <c r="K301" s="57"/>
      <c r="L301" s="57"/>
      <c r="M301" s="57"/>
      <c r="N301" s="57"/>
    </row>
    <row r="302" spans="1:14" ht="15" x14ac:dyDescent="0.35">
      <c r="A302" s="58"/>
      <c r="B302" s="57"/>
      <c r="C302" s="57"/>
      <c r="D302" s="57"/>
      <c r="E302" s="57"/>
      <c r="F302" s="59"/>
      <c r="G302" s="57"/>
      <c r="H302" s="57"/>
      <c r="I302" s="57"/>
      <c r="J302" s="57"/>
      <c r="K302" s="57"/>
      <c r="L302" s="57"/>
      <c r="M302" s="57"/>
      <c r="N302" s="57"/>
    </row>
    <row r="303" spans="1:14" ht="15" x14ac:dyDescent="0.35">
      <c r="A303" s="58"/>
      <c r="B303" s="57"/>
      <c r="C303" s="57"/>
      <c r="D303" s="57"/>
      <c r="E303" s="57"/>
      <c r="F303" s="59"/>
      <c r="G303" s="57"/>
      <c r="H303" s="57"/>
      <c r="I303" s="57"/>
      <c r="J303" s="57"/>
      <c r="K303" s="57"/>
      <c r="L303" s="57"/>
      <c r="M303" s="57"/>
      <c r="N303" s="57"/>
    </row>
    <row r="304" spans="1:14" ht="15" x14ac:dyDescent="0.35">
      <c r="A304" s="58"/>
      <c r="B304" s="57"/>
      <c r="C304" s="57"/>
      <c r="D304" s="57"/>
      <c r="E304" s="57"/>
      <c r="F304" s="59"/>
      <c r="G304" s="57"/>
      <c r="H304" s="57"/>
      <c r="I304" s="57"/>
      <c r="J304" s="57"/>
      <c r="K304" s="57"/>
      <c r="L304" s="57"/>
      <c r="M304" s="57"/>
      <c r="N304" s="57"/>
    </row>
    <row r="305" spans="1:14" ht="15" x14ac:dyDescent="0.35">
      <c r="A305" s="58"/>
      <c r="B305" s="57"/>
      <c r="C305" s="57"/>
      <c r="D305" s="57"/>
      <c r="E305" s="57"/>
      <c r="F305" s="59"/>
      <c r="G305" s="57"/>
      <c r="H305" s="57"/>
      <c r="I305" s="57"/>
      <c r="J305" s="57"/>
      <c r="K305" s="57"/>
      <c r="L305" s="57"/>
      <c r="M305" s="57"/>
      <c r="N305" s="57"/>
    </row>
    <row r="306" spans="1:14" ht="15" x14ac:dyDescent="0.35">
      <c r="A306" s="58"/>
      <c r="B306" s="57"/>
      <c r="C306" s="57"/>
      <c r="D306" s="57"/>
      <c r="E306" s="57"/>
      <c r="F306" s="59"/>
      <c r="G306" s="57"/>
      <c r="H306" s="57"/>
      <c r="I306" s="57"/>
      <c r="J306" s="57"/>
      <c r="K306" s="57"/>
      <c r="L306" s="57"/>
      <c r="M306" s="57"/>
      <c r="N306" s="57"/>
    </row>
    <row r="307" spans="1:14" ht="15" x14ac:dyDescent="0.35">
      <c r="A307" s="58"/>
      <c r="B307" s="57"/>
      <c r="C307" s="57"/>
      <c r="D307" s="57"/>
      <c r="E307" s="57"/>
      <c r="F307" s="59"/>
      <c r="G307" s="57"/>
      <c r="H307" s="57"/>
      <c r="I307" s="57"/>
      <c r="J307" s="57"/>
      <c r="K307" s="57"/>
      <c r="L307" s="57"/>
      <c r="M307" s="57"/>
      <c r="N307" s="57"/>
    </row>
    <row r="308" spans="1:14" ht="15" x14ac:dyDescent="0.35">
      <c r="A308" s="58"/>
      <c r="B308" s="57"/>
      <c r="C308" s="57"/>
      <c r="D308" s="57"/>
      <c r="E308" s="57"/>
      <c r="F308" s="59"/>
      <c r="G308" s="57"/>
      <c r="H308" s="57"/>
      <c r="I308" s="57"/>
      <c r="J308" s="57"/>
      <c r="K308" s="57"/>
      <c r="L308" s="57"/>
      <c r="M308" s="57"/>
      <c r="N308" s="57"/>
    </row>
    <row r="309" spans="1:14" ht="15" x14ac:dyDescent="0.35">
      <c r="A309" s="58"/>
      <c r="B309" s="57"/>
      <c r="C309" s="57"/>
      <c r="D309" s="57"/>
      <c r="E309" s="57"/>
      <c r="F309" s="59"/>
      <c r="G309" s="57"/>
      <c r="H309" s="57"/>
      <c r="I309" s="57"/>
      <c r="J309" s="57"/>
      <c r="K309" s="57"/>
      <c r="L309" s="57"/>
      <c r="M309" s="57"/>
      <c r="N309" s="57"/>
    </row>
    <row r="310" spans="1:14" ht="15" x14ac:dyDescent="0.35">
      <c r="A310" s="58"/>
      <c r="B310" s="57"/>
      <c r="C310" s="57"/>
      <c r="D310" s="57"/>
      <c r="E310" s="57"/>
      <c r="F310" s="59"/>
      <c r="G310" s="57"/>
      <c r="H310" s="57"/>
      <c r="I310" s="57"/>
      <c r="J310" s="57"/>
      <c r="K310" s="57"/>
      <c r="L310" s="57"/>
      <c r="M310" s="57"/>
      <c r="N310" s="57"/>
    </row>
    <row r="311" spans="1:14" ht="15" x14ac:dyDescent="0.35">
      <c r="A311" s="58"/>
      <c r="B311" s="57"/>
      <c r="C311" s="57"/>
      <c r="D311" s="57"/>
      <c r="E311" s="57"/>
      <c r="F311" s="59"/>
      <c r="G311" s="57"/>
      <c r="H311" s="57"/>
      <c r="I311" s="57"/>
      <c r="J311" s="57"/>
      <c r="K311" s="57"/>
      <c r="L311" s="57"/>
      <c r="M311" s="57"/>
      <c r="N311" s="57"/>
    </row>
    <row r="312" spans="1:14" ht="15" x14ac:dyDescent="0.35">
      <c r="A312" s="58"/>
      <c r="B312" s="57"/>
      <c r="C312" s="57"/>
      <c r="D312" s="57"/>
      <c r="E312" s="57"/>
      <c r="F312" s="59"/>
      <c r="G312" s="57"/>
      <c r="H312" s="57"/>
      <c r="I312" s="57"/>
      <c r="J312" s="57"/>
      <c r="K312" s="57"/>
      <c r="L312" s="57"/>
      <c r="M312" s="57"/>
      <c r="N312" s="57"/>
    </row>
    <row r="313" spans="1:14" ht="15" x14ac:dyDescent="0.35">
      <c r="A313" s="58"/>
      <c r="B313" s="57"/>
      <c r="C313" s="57"/>
      <c r="D313" s="57"/>
      <c r="E313" s="57"/>
      <c r="F313" s="59"/>
      <c r="G313" s="57"/>
      <c r="H313" s="57"/>
      <c r="I313" s="57"/>
      <c r="J313" s="57"/>
      <c r="K313" s="57"/>
      <c r="L313" s="57"/>
      <c r="M313" s="57"/>
      <c r="N313" s="57"/>
    </row>
    <row r="314" spans="1:14" ht="15" x14ac:dyDescent="0.35">
      <c r="A314" s="58"/>
      <c r="B314" s="57"/>
      <c r="C314" s="57"/>
      <c r="D314" s="57"/>
      <c r="E314" s="57"/>
      <c r="F314" s="59"/>
      <c r="G314" s="57"/>
      <c r="H314" s="57"/>
      <c r="I314" s="57"/>
      <c r="J314" s="57"/>
      <c r="K314" s="57"/>
      <c r="L314" s="57"/>
      <c r="M314" s="57"/>
      <c r="N314" s="57"/>
    </row>
    <row r="315" spans="1:14" ht="15" x14ac:dyDescent="0.35">
      <c r="A315" s="58"/>
      <c r="B315" s="57"/>
      <c r="C315" s="57"/>
      <c r="D315" s="57"/>
      <c r="E315" s="57"/>
      <c r="F315" s="59"/>
      <c r="G315" s="57"/>
      <c r="H315" s="57"/>
      <c r="I315" s="57"/>
      <c r="J315" s="57"/>
      <c r="K315" s="57"/>
      <c r="L315" s="57"/>
      <c r="M315" s="57"/>
      <c r="N315" s="57"/>
    </row>
    <row r="316" spans="1:14" ht="15" x14ac:dyDescent="0.35">
      <c r="A316" s="58"/>
      <c r="B316" s="57"/>
      <c r="C316" s="57"/>
      <c r="D316" s="57"/>
      <c r="E316" s="57"/>
      <c r="F316" s="59"/>
      <c r="G316" s="57"/>
      <c r="H316" s="57"/>
      <c r="I316" s="57"/>
      <c r="J316" s="57"/>
      <c r="K316" s="57"/>
      <c r="L316" s="57"/>
      <c r="M316" s="57"/>
      <c r="N316" s="57"/>
    </row>
    <row r="317" spans="1:14" ht="15" x14ac:dyDescent="0.35">
      <c r="A317" s="58"/>
      <c r="B317" s="57"/>
      <c r="C317" s="57"/>
      <c r="D317" s="57"/>
      <c r="E317" s="57"/>
      <c r="F317" s="59"/>
      <c r="G317" s="57"/>
      <c r="H317" s="57"/>
      <c r="I317" s="57"/>
      <c r="J317" s="57"/>
      <c r="K317" s="57"/>
      <c r="L317" s="57"/>
      <c r="M317" s="57"/>
      <c r="N317" s="57"/>
    </row>
    <row r="318" spans="1:14" ht="15" x14ac:dyDescent="0.35">
      <c r="A318" s="58"/>
      <c r="B318" s="57"/>
      <c r="C318" s="57"/>
      <c r="D318" s="57"/>
      <c r="E318" s="57"/>
      <c r="F318" s="59"/>
      <c r="G318" s="57"/>
      <c r="H318" s="57"/>
      <c r="I318" s="57"/>
      <c r="J318" s="57"/>
      <c r="K318" s="57"/>
      <c r="L318" s="57"/>
      <c r="M318" s="57"/>
      <c r="N318" s="57"/>
    </row>
    <row r="319" spans="1:14" ht="15" x14ac:dyDescent="0.35">
      <c r="A319" s="58"/>
      <c r="B319" s="57"/>
      <c r="C319" s="57"/>
      <c r="D319" s="57"/>
      <c r="E319" s="57"/>
      <c r="F319" s="59"/>
      <c r="G319" s="57"/>
      <c r="H319" s="57"/>
      <c r="I319" s="57"/>
      <c r="J319" s="57"/>
      <c r="K319" s="57"/>
      <c r="L319" s="57"/>
      <c r="M319" s="57"/>
      <c r="N319" s="57"/>
    </row>
    <row r="320" spans="1:14" ht="15" x14ac:dyDescent="0.35">
      <c r="A320" s="58"/>
      <c r="B320" s="57"/>
      <c r="C320" s="57"/>
      <c r="D320" s="57"/>
      <c r="E320" s="57"/>
      <c r="F320" s="59"/>
      <c r="G320" s="57"/>
      <c r="H320" s="57"/>
      <c r="I320" s="57"/>
      <c r="J320" s="57"/>
      <c r="K320" s="57"/>
      <c r="L320" s="57"/>
      <c r="M320" s="57"/>
      <c r="N320" s="57"/>
    </row>
    <row r="321" spans="1:14" ht="15" x14ac:dyDescent="0.35">
      <c r="A321" s="58"/>
      <c r="B321" s="57"/>
      <c r="C321" s="57"/>
      <c r="D321" s="57"/>
      <c r="E321" s="57"/>
      <c r="F321" s="59"/>
      <c r="G321" s="57"/>
      <c r="H321" s="57"/>
      <c r="I321" s="57"/>
      <c r="J321" s="57"/>
      <c r="K321" s="57"/>
      <c r="L321" s="57"/>
      <c r="M321" s="57"/>
      <c r="N321" s="57"/>
    </row>
    <row r="322" spans="1:14" ht="15" x14ac:dyDescent="0.35">
      <c r="A322" s="58"/>
      <c r="B322" s="57"/>
      <c r="C322" s="57"/>
      <c r="D322" s="57"/>
      <c r="E322" s="57"/>
      <c r="F322" s="59"/>
      <c r="G322" s="57"/>
      <c r="H322" s="57"/>
      <c r="I322" s="57"/>
      <c r="J322" s="57"/>
      <c r="K322" s="57"/>
      <c r="L322" s="57"/>
      <c r="M322" s="57"/>
      <c r="N322" s="57"/>
    </row>
    <row r="323" spans="1:14" ht="15" x14ac:dyDescent="0.35">
      <c r="A323" s="58"/>
      <c r="B323" s="57"/>
      <c r="C323" s="57"/>
      <c r="D323" s="57"/>
      <c r="E323" s="57"/>
      <c r="F323" s="59"/>
      <c r="G323" s="57"/>
      <c r="H323" s="57"/>
      <c r="I323" s="57"/>
      <c r="J323" s="57"/>
      <c r="K323" s="57"/>
      <c r="L323" s="57"/>
      <c r="M323" s="57"/>
      <c r="N323" s="57"/>
    </row>
    <row r="324" spans="1:14" ht="15" x14ac:dyDescent="0.35">
      <c r="A324" s="58"/>
      <c r="B324" s="57"/>
      <c r="C324" s="57"/>
      <c r="D324" s="57"/>
      <c r="E324" s="57"/>
      <c r="F324" s="59"/>
      <c r="G324" s="57"/>
      <c r="H324" s="57"/>
      <c r="I324" s="57"/>
      <c r="J324" s="57"/>
      <c r="K324" s="57"/>
      <c r="L324" s="57"/>
      <c r="M324" s="57"/>
      <c r="N324" s="57"/>
    </row>
    <row r="325" spans="1:14" ht="15" x14ac:dyDescent="0.35">
      <c r="A325" s="58"/>
      <c r="B325" s="57"/>
      <c r="C325" s="57"/>
      <c r="D325" s="57"/>
      <c r="E325" s="57"/>
      <c r="F325" s="59"/>
      <c r="G325" s="57"/>
      <c r="H325" s="57"/>
      <c r="I325" s="57"/>
      <c r="J325" s="57"/>
      <c r="K325" s="57"/>
      <c r="L325" s="57"/>
      <c r="M325" s="57"/>
      <c r="N325" s="57"/>
    </row>
    <row r="326" spans="1:14" ht="15" x14ac:dyDescent="0.35">
      <c r="A326" s="58"/>
      <c r="B326" s="57"/>
      <c r="C326" s="57"/>
      <c r="D326" s="57"/>
      <c r="E326" s="57"/>
      <c r="F326" s="59"/>
      <c r="G326" s="57"/>
      <c r="H326" s="57"/>
      <c r="I326" s="57"/>
      <c r="J326" s="57"/>
      <c r="K326" s="57"/>
      <c r="L326" s="57"/>
      <c r="M326" s="57"/>
      <c r="N326" s="57"/>
    </row>
    <row r="327" spans="1:14" ht="15" x14ac:dyDescent="0.35">
      <c r="A327" s="58"/>
      <c r="B327" s="57"/>
      <c r="C327" s="57"/>
      <c r="D327" s="57"/>
      <c r="E327" s="57"/>
      <c r="F327" s="59"/>
      <c r="G327" s="57"/>
      <c r="H327" s="57"/>
      <c r="I327" s="57"/>
      <c r="J327" s="57"/>
      <c r="K327" s="57"/>
      <c r="L327" s="57"/>
      <c r="M327" s="57"/>
      <c r="N327" s="57"/>
    </row>
    <row r="328" spans="1:14" ht="15" x14ac:dyDescent="0.35">
      <c r="A328" s="58"/>
      <c r="B328" s="57"/>
      <c r="C328" s="57"/>
      <c r="D328" s="57"/>
      <c r="E328" s="57"/>
      <c r="F328" s="59"/>
      <c r="G328" s="57"/>
      <c r="H328" s="57"/>
      <c r="I328" s="57"/>
      <c r="J328" s="57"/>
      <c r="K328" s="57"/>
      <c r="L328" s="57"/>
      <c r="M328" s="57"/>
      <c r="N328" s="57"/>
    </row>
    <row r="329" spans="1:14" ht="15" x14ac:dyDescent="0.35">
      <c r="A329" s="58"/>
      <c r="B329" s="57"/>
      <c r="C329" s="57"/>
      <c r="D329" s="57"/>
      <c r="E329" s="57"/>
      <c r="F329" s="59"/>
      <c r="G329" s="57"/>
      <c r="H329" s="57"/>
      <c r="I329" s="57"/>
      <c r="J329" s="57"/>
      <c r="K329" s="57"/>
      <c r="L329" s="57"/>
      <c r="M329" s="57"/>
      <c r="N329" s="57"/>
    </row>
    <row r="330" spans="1:14" ht="15" x14ac:dyDescent="0.35">
      <c r="A330" s="58"/>
      <c r="B330" s="57"/>
      <c r="C330" s="57"/>
      <c r="D330" s="57"/>
      <c r="E330" s="57"/>
      <c r="F330" s="59"/>
      <c r="G330" s="57"/>
      <c r="H330" s="57"/>
      <c r="I330" s="57"/>
      <c r="J330" s="57"/>
      <c r="K330" s="57"/>
      <c r="L330" s="57"/>
      <c r="M330" s="57"/>
      <c r="N330" s="57"/>
    </row>
    <row r="331" spans="1:14" ht="15" x14ac:dyDescent="0.35">
      <c r="A331" s="58"/>
      <c r="B331" s="57"/>
      <c r="C331" s="57"/>
      <c r="D331" s="57"/>
      <c r="E331" s="57"/>
      <c r="F331" s="59"/>
      <c r="G331" s="57"/>
      <c r="H331" s="57"/>
      <c r="I331" s="57"/>
      <c r="J331" s="57"/>
      <c r="K331" s="57"/>
      <c r="L331" s="57"/>
      <c r="M331" s="57"/>
      <c r="N331" s="57"/>
    </row>
    <row r="332" spans="1:14" ht="15" x14ac:dyDescent="0.35">
      <c r="A332" s="58"/>
      <c r="B332" s="57"/>
      <c r="C332" s="57"/>
      <c r="D332" s="57"/>
      <c r="E332" s="57"/>
      <c r="F332" s="59"/>
      <c r="G332" s="57"/>
      <c r="H332" s="57"/>
      <c r="I332" s="57"/>
      <c r="J332" s="57"/>
      <c r="K332" s="57"/>
      <c r="L332" s="57"/>
      <c r="M332" s="57"/>
      <c r="N332" s="57"/>
    </row>
    <row r="333" spans="1:14" ht="15" x14ac:dyDescent="0.35">
      <c r="A333" s="58"/>
      <c r="B333" s="57"/>
      <c r="C333" s="57"/>
      <c r="D333" s="57"/>
      <c r="E333" s="57"/>
      <c r="F333" s="59"/>
      <c r="G333" s="57"/>
      <c r="H333" s="57"/>
      <c r="I333" s="57"/>
      <c r="J333" s="57"/>
      <c r="K333" s="57"/>
      <c r="L333" s="57"/>
      <c r="M333" s="57"/>
      <c r="N333" s="57"/>
    </row>
    <row r="334" spans="1:14" ht="15" x14ac:dyDescent="0.35">
      <c r="A334" s="58"/>
      <c r="B334" s="57"/>
      <c r="C334" s="57"/>
      <c r="D334" s="57"/>
      <c r="E334" s="57"/>
      <c r="F334" s="59"/>
      <c r="G334" s="57"/>
      <c r="H334" s="57"/>
      <c r="I334" s="57"/>
      <c r="J334" s="57"/>
      <c r="K334" s="57"/>
      <c r="L334" s="57"/>
      <c r="M334" s="57"/>
      <c r="N334" s="57"/>
    </row>
    <row r="335" spans="1:14" ht="15" x14ac:dyDescent="0.35">
      <c r="A335" s="58"/>
      <c r="B335" s="57"/>
      <c r="C335" s="57"/>
      <c r="D335" s="57"/>
      <c r="E335" s="57"/>
      <c r="F335" s="59"/>
      <c r="G335" s="57"/>
      <c r="H335" s="57"/>
      <c r="I335" s="57"/>
      <c r="J335" s="57"/>
      <c r="K335" s="57"/>
      <c r="L335" s="57"/>
      <c r="M335" s="57"/>
      <c r="N335" s="57"/>
    </row>
    <row r="336" spans="1:14" ht="15" x14ac:dyDescent="0.35">
      <c r="A336" s="58"/>
      <c r="B336" s="57"/>
      <c r="C336" s="57"/>
      <c r="D336" s="57"/>
      <c r="E336" s="57"/>
      <c r="F336" s="59"/>
      <c r="G336" s="57"/>
      <c r="H336" s="57"/>
      <c r="I336" s="57"/>
      <c r="J336" s="57"/>
      <c r="K336" s="57"/>
      <c r="L336" s="57"/>
      <c r="M336" s="57"/>
      <c r="N336" s="57"/>
    </row>
    <row r="337" spans="1:14" ht="15" x14ac:dyDescent="0.35">
      <c r="A337" s="58"/>
      <c r="B337" s="57"/>
      <c r="C337" s="57"/>
      <c r="D337" s="57"/>
      <c r="E337" s="57"/>
      <c r="F337" s="59"/>
      <c r="G337" s="57"/>
      <c r="H337" s="57"/>
      <c r="I337" s="57"/>
      <c r="J337" s="57"/>
      <c r="K337" s="57"/>
      <c r="L337" s="57"/>
      <c r="M337" s="57"/>
      <c r="N337" s="57"/>
    </row>
    <row r="338" spans="1:14" ht="15" x14ac:dyDescent="0.35">
      <c r="A338" s="58"/>
      <c r="B338" s="57"/>
      <c r="C338" s="57"/>
      <c r="D338" s="57"/>
      <c r="E338" s="57"/>
      <c r="F338" s="59"/>
      <c r="G338" s="57"/>
      <c r="H338" s="57"/>
      <c r="I338" s="57"/>
      <c r="J338" s="57"/>
      <c r="K338" s="57"/>
      <c r="L338" s="57"/>
      <c r="M338" s="57"/>
      <c r="N338" s="57"/>
    </row>
    <row r="339" spans="1:14" ht="15" x14ac:dyDescent="0.35">
      <c r="A339" s="58"/>
      <c r="B339" s="57"/>
      <c r="C339" s="57"/>
      <c r="D339" s="57"/>
      <c r="E339" s="57"/>
      <c r="F339" s="59"/>
      <c r="G339" s="57"/>
      <c r="H339" s="57"/>
      <c r="I339" s="57"/>
      <c r="J339" s="57"/>
      <c r="K339" s="57"/>
      <c r="L339" s="57"/>
      <c r="M339" s="57"/>
      <c r="N339" s="57"/>
    </row>
    <row r="340" spans="1:14" ht="15" x14ac:dyDescent="0.35">
      <c r="A340" s="58"/>
      <c r="B340" s="57"/>
      <c r="C340" s="57"/>
      <c r="D340" s="57"/>
      <c r="E340" s="57"/>
      <c r="F340" s="59"/>
      <c r="G340" s="57"/>
      <c r="H340" s="57"/>
      <c r="I340" s="57"/>
      <c r="J340" s="57"/>
      <c r="K340" s="57"/>
      <c r="L340" s="57"/>
      <c r="M340" s="57"/>
      <c r="N340" s="57"/>
    </row>
    <row r="341" spans="1:14" ht="15" x14ac:dyDescent="0.35">
      <c r="A341" s="58"/>
      <c r="B341" s="57"/>
      <c r="C341" s="57"/>
      <c r="D341" s="57"/>
      <c r="E341" s="57"/>
      <c r="F341" s="59"/>
      <c r="G341" s="57"/>
      <c r="H341" s="57"/>
      <c r="I341" s="57"/>
      <c r="J341" s="57"/>
      <c r="K341" s="57"/>
      <c r="L341" s="57"/>
      <c r="M341" s="57"/>
      <c r="N341" s="57"/>
    </row>
    <row r="342" spans="1:14" ht="15" x14ac:dyDescent="0.35">
      <c r="A342" s="58"/>
      <c r="B342" s="57"/>
      <c r="C342" s="57"/>
      <c r="D342" s="57"/>
      <c r="E342" s="57"/>
      <c r="F342" s="59"/>
      <c r="G342" s="57"/>
      <c r="H342" s="57"/>
      <c r="I342" s="57"/>
      <c r="J342" s="57"/>
      <c r="K342" s="57"/>
      <c r="L342" s="57"/>
      <c r="M342" s="57"/>
      <c r="N342" s="57"/>
    </row>
    <row r="343" spans="1:14" ht="15" x14ac:dyDescent="0.35">
      <c r="A343" s="58"/>
      <c r="B343" s="57"/>
      <c r="C343" s="57"/>
      <c r="D343" s="57"/>
      <c r="E343" s="57"/>
      <c r="F343" s="59"/>
      <c r="G343" s="57"/>
      <c r="H343" s="57"/>
      <c r="I343" s="57"/>
      <c r="J343" s="57"/>
      <c r="K343" s="57"/>
      <c r="L343" s="57"/>
      <c r="M343" s="57"/>
      <c r="N343" s="57"/>
    </row>
    <row r="344" spans="1:14" ht="15" x14ac:dyDescent="0.35">
      <c r="A344" s="58"/>
      <c r="B344" s="57"/>
      <c r="C344" s="57"/>
      <c r="D344" s="57"/>
      <c r="E344" s="57"/>
      <c r="F344" s="59"/>
      <c r="G344" s="57"/>
      <c r="H344" s="57"/>
      <c r="I344" s="57"/>
      <c r="J344" s="57"/>
      <c r="K344" s="57"/>
      <c r="L344" s="57"/>
      <c r="M344" s="57"/>
      <c r="N344" s="57"/>
    </row>
    <row r="345" spans="1:14" ht="15" x14ac:dyDescent="0.35">
      <c r="A345" s="58"/>
      <c r="B345" s="57"/>
      <c r="C345" s="57"/>
      <c r="D345" s="57"/>
      <c r="E345" s="57"/>
      <c r="F345" s="59"/>
      <c r="G345" s="57"/>
      <c r="H345" s="57"/>
      <c r="I345" s="57"/>
      <c r="J345" s="57"/>
      <c r="K345" s="57"/>
      <c r="L345" s="57"/>
      <c r="M345" s="57"/>
      <c r="N345" s="57"/>
    </row>
    <row r="346" spans="1:14" ht="15" x14ac:dyDescent="0.35">
      <c r="A346" s="58"/>
      <c r="B346" s="57"/>
      <c r="C346" s="57"/>
      <c r="D346" s="57"/>
      <c r="E346" s="57"/>
      <c r="F346" s="59"/>
      <c r="G346" s="57"/>
      <c r="H346" s="57"/>
      <c r="I346" s="57"/>
      <c r="J346" s="57"/>
      <c r="K346" s="57"/>
      <c r="L346" s="57"/>
      <c r="M346" s="57"/>
      <c r="N346" s="57"/>
    </row>
    <row r="347" spans="1:14" ht="15" x14ac:dyDescent="0.35">
      <c r="A347" s="58"/>
      <c r="B347" s="57"/>
      <c r="C347" s="57"/>
      <c r="D347" s="57"/>
      <c r="E347" s="57"/>
      <c r="F347" s="59"/>
      <c r="G347" s="57"/>
      <c r="H347" s="57"/>
      <c r="I347" s="57"/>
      <c r="J347" s="57"/>
      <c r="K347" s="57"/>
      <c r="L347" s="57"/>
      <c r="M347" s="57"/>
      <c r="N347" s="57"/>
    </row>
    <row r="348" spans="1:14" ht="15" x14ac:dyDescent="0.35">
      <c r="A348" s="58"/>
      <c r="B348" s="57"/>
      <c r="C348" s="57"/>
      <c r="D348" s="57"/>
      <c r="E348" s="57"/>
      <c r="F348" s="59"/>
      <c r="G348" s="57"/>
      <c r="H348" s="57"/>
      <c r="I348" s="57"/>
      <c r="J348" s="57"/>
      <c r="K348" s="57"/>
      <c r="L348" s="57"/>
      <c r="M348" s="57"/>
      <c r="N348" s="57"/>
    </row>
    <row r="349" spans="1:14" ht="15" x14ac:dyDescent="0.35">
      <c r="A349" s="58"/>
      <c r="B349" s="57"/>
      <c r="C349" s="57"/>
      <c r="D349" s="57"/>
      <c r="E349" s="57"/>
      <c r="F349" s="59"/>
      <c r="G349" s="57"/>
      <c r="H349" s="57"/>
      <c r="I349" s="57"/>
      <c r="J349" s="57"/>
      <c r="K349" s="57"/>
      <c r="L349" s="57"/>
      <c r="M349" s="57"/>
      <c r="N349" s="57"/>
    </row>
    <row r="350" spans="1:14" ht="15" x14ac:dyDescent="0.35">
      <c r="A350" s="58"/>
      <c r="B350" s="57"/>
      <c r="C350" s="57"/>
      <c r="D350" s="57"/>
      <c r="E350" s="57"/>
      <c r="F350" s="59"/>
      <c r="G350" s="57"/>
      <c r="H350" s="57"/>
      <c r="I350" s="57"/>
      <c r="J350" s="57"/>
      <c r="K350" s="57"/>
      <c r="L350" s="57"/>
      <c r="M350" s="57"/>
      <c r="N350" s="57"/>
    </row>
    <row r="351" spans="1:14" ht="15" x14ac:dyDescent="0.35">
      <c r="A351" s="58"/>
      <c r="B351" s="57"/>
      <c r="C351" s="57"/>
      <c r="D351" s="57"/>
      <c r="E351" s="57"/>
      <c r="F351" s="59"/>
      <c r="G351" s="57"/>
      <c r="H351" s="57"/>
      <c r="I351" s="57"/>
      <c r="J351" s="57"/>
      <c r="K351" s="57"/>
      <c r="L351" s="57"/>
      <c r="M351" s="57"/>
      <c r="N351" s="57"/>
    </row>
    <row r="352" spans="1:14" ht="15" x14ac:dyDescent="0.35">
      <c r="A352" s="58"/>
      <c r="B352" s="57"/>
      <c r="C352" s="57"/>
      <c r="D352" s="57"/>
      <c r="E352" s="57"/>
      <c r="F352" s="59"/>
      <c r="G352" s="57"/>
      <c r="H352" s="57"/>
      <c r="I352" s="57"/>
      <c r="J352" s="57"/>
      <c r="K352" s="57"/>
      <c r="L352" s="57"/>
      <c r="M352" s="57"/>
      <c r="N352" s="57"/>
    </row>
    <row r="353" spans="1:14" ht="15" x14ac:dyDescent="0.35">
      <c r="A353" s="58"/>
      <c r="B353" s="57"/>
      <c r="C353" s="57"/>
      <c r="D353" s="57"/>
      <c r="E353" s="57"/>
      <c r="F353" s="59"/>
      <c r="G353" s="57"/>
      <c r="H353" s="57"/>
      <c r="I353" s="57"/>
      <c r="J353" s="57"/>
      <c r="K353" s="57"/>
      <c r="L353" s="57"/>
      <c r="M353" s="57"/>
      <c r="N353" s="57"/>
    </row>
    <row r="354" spans="1:14" ht="15" x14ac:dyDescent="0.35">
      <c r="A354" s="58"/>
      <c r="B354" s="57"/>
      <c r="C354" s="57"/>
      <c r="D354" s="57"/>
      <c r="E354" s="57"/>
      <c r="F354" s="59"/>
      <c r="G354" s="57"/>
      <c r="H354" s="57"/>
      <c r="I354" s="57"/>
      <c r="J354" s="57"/>
      <c r="K354" s="57"/>
      <c r="L354" s="57"/>
      <c r="M354" s="57"/>
      <c r="N354" s="57"/>
    </row>
    <row r="355" spans="1:14" ht="15" x14ac:dyDescent="0.35">
      <c r="A355" s="58"/>
      <c r="B355" s="57"/>
      <c r="C355" s="57"/>
      <c r="D355" s="57"/>
      <c r="E355" s="57"/>
      <c r="F355" s="59"/>
      <c r="G355" s="57"/>
      <c r="H355" s="57"/>
      <c r="I355" s="57"/>
      <c r="J355" s="57"/>
      <c r="K355" s="57"/>
      <c r="L355" s="57"/>
      <c r="M355" s="57"/>
      <c r="N355" s="57"/>
    </row>
    <row r="356" spans="1:14" ht="15" x14ac:dyDescent="0.35">
      <c r="A356" s="58"/>
      <c r="B356" s="57"/>
      <c r="C356" s="57"/>
      <c r="D356" s="57"/>
      <c r="E356" s="57"/>
      <c r="F356" s="59"/>
      <c r="G356" s="57"/>
      <c r="H356" s="57"/>
      <c r="I356" s="57"/>
      <c r="J356" s="57"/>
      <c r="K356" s="57"/>
      <c r="L356" s="57"/>
      <c r="M356" s="57"/>
      <c r="N356" s="57"/>
    </row>
    <row r="357" spans="1:14" ht="15" x14ac:dyDescent="0.35">
      <c r="A357" s="58"/>
      <c r="B357" s="57"/>
      <c r="C357" s="57"/>
      <c r="D357" s="57"/>
      <c r="E357" s="57"/>
      <c r="F357" s="59"/>
      <c r="G357" s="57"/>
      <c r="H357" s="57"/>
      <c r="I357" s="57"/>
      <c r="J357" s="57"/>
      <c r="K357" s="57"/>
      <c r="L357" s="57"/>
      <c r="M357" s="57"/>
      <c r="N357" s="57"/>
    </row>
    <row r="358" spans="1:14" ht="15" x14ac:dyDescent="0.35">
      <c r="A358" s="58"/>
      <c r="B358" s="57"/>
      <c r="C358" s="57"/>
      <c r="D358" s="57"/>
      <c r="E358" s="57"/>
      <c r="F358" s="59"/>
      <c r="G358" s="57"/>
      <c r="H358" s="57"/>
      <c r="I358" s="57"/>
      <c r="J358" s="57"/>
      <c r="K358" s="57"/>
      <c r="L358" s="57"/>
      <c r="M358" s="57"/>
      <c r="N358" s="57"/>
    </row>
    <row r="359" spans="1:14" ht="15" x14ac:dyDescent="0.35">
      <c r="A359" s="58"/>
      <c r="B359" s="57"/>
      <c r="C359" s="57"/>
      <c r="D359" s="57"/>
      <c r="E359" s="57"/>
      <c r="F359" s="59"/>
      <c r="G359" s="57"/>
      <c r="H359" s="57"/>
      <c r="I359" s="57"/>
      <c r="J359" s="57"/>
      <c r="K359" s="57"/>
      <c r="L359" s="57"/>
      <c r="M359" s="57"/>
      <c r="N359" s="57"/>
    </row>
    <row r="360" spans="1:14" ht="15" x14ac:dyDescent="0.35">
      <c r="A360" s="58"/>
      <c r="B360" s="57"/>
      <c r="C360" s="57"/>
      <c r="D360" s="57"/>
      <c r="E360" s="57"/>
      <c r="F360" s="59"/>
      <c r="G360" s="57"/>
      <c r="H360" s="57"/>
      <c r="I360" s="57"/>
      <c r="J360" s="57"/>
      <c r="K360" s="57"/>
      <c r="L360" s="57"/>
      <c r="M360" s="57"/>
      <c r="N360" s="57"/>
    </row>
    <row r="361" spans="1:14" ht="15" x14ac:dyDescent="0.35">
      <c r="A361" s="58"/>
      <c r="B361" s="57"/>
      <c r="C361" s="57"/>
      <c r="D361" s="57"/>
      <c r="E361" s="57"/>
      <c r="F361" s="59"/>
      <c r="G361" s="57"/>
      <c r="H361" s="57"/>
      <c r="I361" s="57"/>
      <c r="J361" s="57"/>
      <c r="K361" s="57"/>
      <c r="L361" s="57"/>
      <c r="M361" s="57"/>
      <c r="N361" s="57"/>
    </row>
    <row r="362" spans="1:14" ht="15" x14ac:dyDescent="0.35">
      <c r="A362" s="58"/>
      <c r="B362" s="57"/>
      <c r="C362" s="57"/>
      <c r="D362" s="57"/>
      <c r="E362" s="57"/>
      <c r="F362" s="59"/>
      <c r="G362" s="57"/>
      <c r="H362" s="57"/>
      <c r="I362" s="57"/>
      <c r="J362" s="57"/>
      <c r="K362" s="57"/>
      <c r="L362" s="57"/>
      <c r="M362" s="57"/>
      <c r="N362" s="57"/>
    </row>
    <row r="363" spans="1:14" ht="15" x14ac:dyDescent="0.35">
      <c r="A363" s="58"/>
      <c r="B363" s="57"/>
      <c r="C363" s="57"/>
      <c r="D363" s="57"/>
      <c r="E363" s="57"/>
      <c r="F363" s="59"/>
      <c r="G363" s="57"/>
      <c r="H363" s="57"/>
      <c r="I363" s="57"/>
      <c r="J363" s="57"/>
      <c r="K363" s="57"/>
      <c r="L363" s="57"/>
      <c r="M363" s="57"/>
      <c r="N363" s="57"/>
    </row>
    <row r="364" spans="1:14" ht="15" x14ac:dyDescent="0.35">
      <c r="A364" s="58"/>
      <c r="B364" s="57"/>
      <c r="C364" s="57"/>
      <c r="D364" s="57"/>
      <c r="E364" s="57"/>
      <c r="F364" s="59"/>
      <c r="G364" s="57"/>
      <c r="H364" s="57"/>
      <c r="I364" s="57"/>
      <c r="J364" s="57"/>
      <c r="K364" s="57"/>
      <c r="L364" s="57"/>
      <c r="M364" s="57"/>
      <c r="N364" s="57"/>
    </row>
    <row r="365" spans="1:14" ht="15" x14ac:dyDescent="0.35">
      <c r="A365" s="58"/>
      <c r="B365" s="57"/>
      <c r="C365" s="57"/>
      <c r="D365" s="57"/>
      <c r="E365" s="57"/>
      <c r="F365" s="59"/>
      <c r="G365" s="57"/>
      <c r="H365" s="57"/>
      <c r="I365" s="57"/>
      <c r="J365" s="57"/>
      <c r="K365" s="57"/>
      <c r="L365" s="57"/>
      <c r="M365" s="57"/>
      <c r="N365" s="57"/>
    </row>
    <row r="366" spans="1:14" ht="15" x14ac:dyDescent="0.35">
      <c r="A366" s="58"/>
      <c r="B366" s="57"/>
      <c r="C366" s="57"/>
      <c r="D366" s="57"/>
      <c r="E366" s="57"/>
      <c r="F366" s="59"/>
      <c r="G366" s="57"/>
      <c r="H366" s="57"/>
      <c r="I366" s="57"/>
      <c r="J366" s="57"/>
      <c r="K366" s="57"/>
      <c r="L366" s="57"/>
      <c r="M366" s="57"/>
      <c r="N366" s="57"/>
    </row>
    <row r="367" spans="1:14" ht="15" x14ac:dyDescent="0.35">
      <c r="A367" s="58"/>
      <c r="B367" s="57"/>
      <c r="C367" s="57"/>
      <c r="D367" s="57"/>
      <c r="E367" s="57"/>
      <c r="F367" s="59"/>
      <c r="G367" s="57"/>
      <c r="H367" s="57"/>
      <c r="I367" s="57"/>
      <c r="J367" s="57"/>
      <c r="K367" s="57"/>
      <c r="L367" s="57"/>
      <c r="M367" s="57"/>
      <c r="N367" s="57"/>
    </row>
    <row r="368" spans="1:14" ht="15" x14ac:dyDescent="0.35">
      <c r="A368" s="58"/>
      <c r="B368" s="57"/>
      <c r="C368" s="57"/>
      <c r="D368" s="57"/>
      <c r="E368" s="57"/>
      <c r="F368" s="59"/>
      <c r="G368" s="57"/>
      <c r="H368" s="57"/>
      <c r="I368" s="57"/>
      <c r="J368" s="57"/>
      <c r="K368" s="57"/>
      <c r="L368" s="57"/>
      <c r="M368" s="57"/>
      <c r="N368" s="57"/>
    </row>
    <row r="369" spans="1:14" ht="15" x14ac:dyDescent="0.35">
      <c r="A369" s="58"/>
      <c r="B369" s="57"/>
      <c r="C369" s="57"/>
      <c r="D369" s="57"/>
      <c r="E369" s="57"/>
      <c r="F369" s="59"/>
      <c r="G369" s="57"/>
      <c r="H369" s="57"/>
      <c r="I369" s="57"/>
      <c r="J369" s="57"/>
      <c r="K369" s="57"/>
      <c r="L369" s="57"/>
      <c r="M369" s="57"/>
      <c r="N369" s="57"/>
    </row>
    <row r="370" spans="1:14" ht="15" x14ac:dyDescent="0.35">
      <c r="A370" s="58"/>
      <c r="B370" s="57"/>
      <c r="C370" s="57"/>
      <c r="D370" s="57"/>
      <c r="E370" s="57"/>
      <c r="F370" s="59"/>
      <c r="G370" s="57"/>
      <c r="H370" s="57"/>
      <c r="I370" s="57"/>
      <c r="J370" s="57"/>
      <c r="K370" s="57"/>
      <c r="L370" s="57"/>
      <c r="M370" s="57"/>
      <c r="N370" s="57"/>
    </row>
    <row r="371" spans="1:14" ht="15" x14ac:dyDescent="0.35">
      <c r="A371" s="58"/>
      <c r="B371" s="57"/>
      <c r="C371" s="57"/>
      <c r="D371" s="57"/>
      <c r="E371" s="57"/>
      <c r="F371" s="59"/>
      <c r="G371" s="57"/>
      <c r="H371" s="57"/>
      <c r="I371" s="57"/>
      <c r="J371" s="57"/>
      <c r="K371" s="57"/>
      <c r="L371" s="57"/>
      <c r="M371" s="57"/>
      <c r="N371" s="57"/>
    </row>
    <row r="372" spans="1:14" ht="15" x14ac:dyDescent="0.35">
      <c r="A372" s="58"/>
      <c r="B372" s="57"/>
      <c r="C372" s="57"/>
      <c r="D372" s="57"/>
      <c r="E372" s="57"/>
      <c r="F372" s="59"/>
      <c r="G372" s="57"/>
      <c r="H372" s="57"/>
      <c r="I372" s="57"/>
      <c r="J372" s="57"/>
      <c r="K372" s="57"/>
      <c r="L372" s="57"/>
      <c r="M372" s="57"/>
      <c r="N372" s="57"/>
    </row>
    <row r="373" spans="1:14" ht="15" x14ac:dyDescent="0.35">
      <c r="A373" s="58"/>
      <c r="B373" s="57"/>
      <c r="C373" s="57"/>
      <c r="D373" s="57"/>
      <c r="E373" s="57"/>
      <c r="F373" s="59"/>
      <c r="G373" s="57"/>
      <c r="H373" s="57"/>
      <c r="I373" s="57"/>
      <c r="J373" s="57"/>
      <c r="K373" s="57"/>
      <c r="L373" s="57"/>
      <c r="M373" s="57"/>
      <c r="N373" s="57"/>
    </row>
    <row r="374" spans="1:14" ht="15" x14ac:dyDescent="0.35">
      <c r="A374" s="58"/>
      <c r="B374" s="57"/>
      <c r="C374" s="57"/>
      <c r="D374" s="57"/>
      <c r="E374" s="57"/>
      <c r="F374" s="59"/>
      <c r="G374" s="57"/>
      <c r="H374" s="57"/>
      <c r="I374" s="57"/>
      <c r="J374" s="57"/>
      <c r="K374" s="57"/>
      <c r="L374" s="57"/>
      <c r="M374" s="57"/>
      <c r="N374" s="57"/>
    </row>
    <row r="375" spans="1:14" ht="15" x14ac:dyDescent="0.35">
      <c r="A375" s="58"/>
      <c r="B375" s="57"/>
      <c r="C375" s="57"/>
      <c r="D375" s="57"/>
      <c r="E375" s="57"/>
      <c r="F375" s="59"/>
      <c r="G375" s="57"/>
      <c r="H375" s="57"/>
      <c r="I375" s="57"/>
      <c r="J375" s="57"/>
      <c r="K375" s="57"/>
      <c r="L375" s="57"/>
      <c r="M375" s="57"/>
      <c r="N375" s="57"/>
    </row>
    <row r="376" spans="1:14" ht="15" x14ac:dyDescent="0.35">
      <c r="A376" s="58"/>
      <c r="B376" s="57"/>
      <c r="C376" s="57"/>
      <c r="D376" s="57"/>
      <c r="E376" s="57"/>
      <c r="F376" s="59"/>
      <c r="G376" s="57"/>
      <c r="H376" s="57"/>
      <c r="I376" s="57"/>
      <c r="J376" s="57"/>
      <c r="K376" s="57"/>
      <c r="L376" s="57"/>
      <c r="M376" s="57"/>
      <c r="N376" s="57"/>
    </row>
    <row r="377" spans="1:14" ht="15" x14ac:dyDescent="0.35">
      <c r="A377" s="58"/>
      <c r="B377" s="57"/>
      <c r="C377" s="57"/>
      <c r="D377" s="57"/>
      <c r="E377" s="57"/>
      <c r="F377" s="59"/>
      <c r="G377" s="57"/>
      <c r="H377" s="57"/>
      <c r="I377" s="57"/>
      <c r="J377" s="57"/>
      <c r="K377" s="57"/>
      <c r="L377" s="57"/>
      <c r="M377" s="57"/>
      <c r="N377" s="57"/>
    </row>
    <row r="378" spans="1:14" ht="15" x14ac:dyDescent="0.35">
      <c r="A378" s="58"/>
      <c r="B378" s="57"/>
      <c r="C378" s="57"/>
      <c r="D378" s="57"/>
      <c r="E378" s="57"/>
      <c r="F378" s="59"/>
      <c r="G378" s="57"/>
      <c r="H378" s="57"/>
      <c r="I378" s="57"/>
      <c r="J378" s="57"/>
      <c r="K378" s="57"/>
      <c r="L378" s="57"/>
      <c r="M378" s="57"/>
      <c r="N378" s="57"/>
    </row>
    <row r="379" spans="1:14" ht="15" x14ac:dyDescent="0.35">
      <c r="A379" s="58"/>
      <c r="B379" s="57"/>
      <c r="C379" s="57"/>
      <c r="D379" s="57"/>
      <c r="E379" s="57"/>
      <c r="F379" s="59"/>
      <c r="G379" s="57"/>
      <c r="H379" s="57"/>
      <c r="I379" s="57"/>
      <c r="J379" s="57"/>
      <c r="K379" s="57"/>
      <c r="L379" s="57"/>
      <c r="M379" s="57"/>
      <c r="N379" s="57"/>
    </row>
    <row r="380" spans="1:14" ht="15" x14ac:dyDescent="0.35">
      <c r="A380" s="58"/>
      <c r="B380" s="57"/>
      <c r="C380" s="57"/>
      <c r="D380" s="57"/>
      <c r="E380" s="57"/>
      <c r="F380" s="59"/>
      <c r="G380" s="57"/>
      <c r="H380" s="57"/>
      <c r="I380" s="57"/>
      <c r="J380" s="57"/>
      <c r="K380" s="57"/>
      <c r="L380" s="57"/>
      <c r="M380" s="57"/>
      <c r="N380" s="57"/>
    </row>
    <row r="381" spans="1:14" ht="15" x14ac:dyDescent="0.35">
      <c r="A381" s="58"/>
      <c r="B381" s="57"/>
      <c r="C381" s="57"/>
      <c r="D381" s="57"/>
      <c r="E381" s="57"/>
      <c r="F381" s="59"/>
      <c r="G381" s="57"/>
      <c r="H381" s="57"/>
      <c r="I381" s="57"/>
      <c r="J381" s="57"/>
      <c r="K381" s="57"/>
      <c r="L381" s="57"/>
      <c r="M381" s="57"/>
      <c r="N381" s="57"/>
    </row>
    <row r="382" spans="1:14" ht="15" x14ac:dyDescent="0.35">
      <c r="A382" s="58"/>
      <c r="B382" s="57"/>
      <c r="C382" s="57"/>
      <c r="D382" s="57"/>
      <c r="E382" s="57"/>
      <c r="F382" s="59"/>
      <c r="G382" s="57"/>
      <c r="H382" s="57"/>
      <c r="I382" s="57"/>
      <c r="J382" s="57"/>
      <c r="K382" s="57"/>
      <c r="L382" s="57"/>
      <c r="M382" s="57"/>
      <c r="N382" s="57"/>
    </row>
    <row r="383" spans="1:14" ht="15" x14ac:dyDescent="0.35">
      <c r="A383" s="58"/>
      <c r="B383" s="57"/>
      <c r="C383" s="57"/>
      <c r="D383" s="57"/>
      <c r="E383" s="57"/>
      <c r="F383" s="59"/>
      <c r="G383" s="57"/>
      <c r="H383" s="57"/>
      <c r="I383" s="57"/>
      <c r="J383" s="57"/>
      <c r="K383" s="57"/>
      <c r="L383" s="57"/>
      <c r="M383" s="57"/>
      <c r="N383" s="57"/>
    </row>
    <row r="384" spans="1:14" ht="15" x14ac:dyDescent="0.35">
      <c r="A384" s="58"/>
      <c r="B384" s="57"/>
      <c r="C384" s="57"/>
      <c r="D384" s="57"/>
      <c r="E384" s="57"/>
      <c r="F384" s="59"/>
      <c r="G384" s="57"/>
      <c r="H384" s="57"/>
      <c r="I384" s="57"/>
      <c r="J384" s="57"/>
      <c r="K384" s="57"/>
      <c r="L384" s="57"/>
      <c r="M384" s="57"/>
      <c r="N384" s="57"/>
    </row>
    <row r="385" spans="1:14" ht="15" x14ac:dyDescent="0.35">
      <c r="A385" s="58"/>
      <c r="B385" s="57"/>
      <c r="C385" s="57"/>
      <c r="D385" s="57"/>
      <c r="E385" s="57"/>
      <c r="F385" s="59"/>
      <c r="G385" s="57"/>
      <c r="H385" s="57"/>
      <c r="I385" s="57"/>
      <c r="J385" s="57"/>
      <c r="K385" s="57"/>
      <c r="L385" s="57"/>
      <c r="M385" s="57"/>
      <c r="N385" s="57"/>
    </row>
    <row r="386" spans="1:14" ht="15" x14ac:dyDescent="0.35">
      <c r="A386" s="58"/>
      <c r="B386" s="57"/>
      <c r="C386" s="57"/>
      <c r="D386" s="57"/>
      <c r="E386" s="57"/>
      <c r="F386" s="59"/>
      <c r="G386" s="57"/>
      <c r="H386" s="57"/>
      <c r="I386" s="57"/>
      <c r="J386" s="57"/>
      <c r="K386" s="57"/>
      <c r="L386" s="57"/>
      <c r="M386" s="57"/>
      <c r="N386" s="57"/>
    </row>
    <row r="387" spans="1:14" ht="15" x14ac:dyDescent="0.35">
      <c r="A387" s="58"/>
      <c r="B387" s="57"/>
      <c r="C387" s="57"/>
      <c r="D387" s="57"/>
      <c r="E387" s="57"/>
      <c r="F387" s="59"/>
      <c r="G387" s="57"/>
      <c r="H387" s="57"/>
      <c r="I387" s="57"/>
      <c r="J387" s="57"/>
      <c r="K387" s="57"/>
      <c r="L387" s="57"/>
      <c r="M387" s="57"/>
      <c r="N387" s="57"/>
    </row>
    <row r="388" spans="1:14" ht="15" x14ac:dyDescent="0.35">
      <c r="A388" s="58"/>
      <c r="B388" s="57"/>
      <c r="C388" s="57"/>
      <c r="D388" s="57"/>
      <c r="E388" s="57"/>
      <c r="F388" s="59"/>
      <c r="G388" s="57"/>
      <c r="H388" s="57"/>
      <c r="I388" s="57"/>
      <c r="J388" s="57"/>
      <c r="K388" s="57"/>
      <c r="L388" s="57"/>
      <c r="M388" s="57"/>
      <c r="N388" s="57"/>
    </row>
    <row r="389" spans="1:14" ht="15" x14ac:dyDescent="0.35">
      <c r="A389" s="58"/>
      <c r="B389" s="57"/>
      <c r="C389" s="57"/>
      <c r="D389" s="57"/>
      <c r="E389" s="57"/>
      <c r="F389" s="59"/>
      <c r="G389" s="57"/>
      <c r="H389" s="57"/>
      <c r="I389" s="57"/>
      <c r="J389" s="57"/>
      <c r="K389" s="57"/>
      <c r="L389" s="57"/>
      <c r="M389" s="57"/>
      <c r="N389" s="57"/>
    </row>
    <row r="390" spans="1:14" ht="15" x14ac:dyDescent="0.35">
      <c r="A390" s="58"/>
      <c r="B390" s="57"/>
      <c r="C390" s="57"/>
      <c r="D390" s="57"/>
      <c r="E390" s="57"/>
      <c r="F390" s="59"/>
      <c r="G390" s="57"/>
      <c r="H390" s="57"/>
      <c r="I390" s="57"/>
      <c r="J390" s="57"/>
      <c r="K390" s="57"/>
      <c r="L390" s="57"/>
      <c r="M390" s="57"/>
      <c r="N390" s="57"/>
    </row>
    <row r="391" spans="1:14" ht="15" x14ac:dyDescent="0.35">
      <c r="A391" s="58"/>
      <c r="B391" s="57"/>
      <c r="C391" s="57"/>
      <c r="D391" s="57"/>
      <c r="E391" s="57"/>
      <c r="F391" s="59"/>
      <c r="G391" s="57"/>
      <c r="H391" s="57"/>
      <c r="I391" s="57"/>
      <c r="J391" s="57"/>
      <c r="K391" s="57"/>
      <c r="L391" s="57"/>
      <c r="M391" s="57"/>
      <c r="N391" s="57"/>
    </row>
    <row r="392" spans="1:14" ht="15" x14ac:dyDescent="0.35">
      <c r="A392" s="58"/>
      <c r="B392" s="57"/>
      <c r="C392" s="57"/>
      <c r="D392" s="57"/>
      <c r="E392" s="57"/>
      <c r="F392" s="59"/>
      <c r="G392" s="57"/>
      <c r="H392" s="57"/>
      <c r="I392" s="57"/>
      <c r="J392" s="57"/>
      <c r="K392" s="57"/>
      <c r="L392" s="57"/>
      <c r="M392" s="57"/>
      <c r="N392" s="57"/>
    </row>
    <row r="393" spans="1:14" ht="15" x14ac:dyDescent="0.35">
      <c r="A393" s="58"/>
      <c r="B393" s="57"/>
      <c r="C393" s="57"/>
      <c r="D393" s="57"/>
      <c r="E393" s="57"/>
      <c r="F393" s="59"/>
      <c r="G393" s="57"/>
      <c r="H393" s="57"/>
      <c r="I393" s="57"/>
      <c r="J393" s="57"/>
      <c r="K393" s="57"/>
      <c r="L393" s="57"/>
      <c r="M393" s="57"/>
      <c r="N393" s="57"/>
    </row>
    <row r="394" spans="1:14" ht="15" x14ac:dyDescent="0.35">
      <c r="A394" s="58"/>
      <c r="B394" s="57"/>
      <c r="C394" s="57"/>
      <c r="D394" s="57"/>
      <c r="E394" s="57"/>
      <c r="F394" s="59"/>
      <c r="G394" s="57"/>
      <c r="H394" s="57"/>
      <c r="I394" s="57"/>
      <c r="J394" s="57"/>
      <c r="K394" s="57"/>
      <c r="L394" s="57"/>
      <c r="M394" s="57"/>
      <c r="N394" s="57"/>
    </row>
    <row r="395" spans="1:14" ht="15" x14ac:dyDescent="0.35">
      <c r="A395" s="58"/>
      <c r="B395" s="57"/>
      <c r="C395" s="57"/>
      <c r="D395" s="57"/>
      <c r="E395" s="57"/>
      <c r="F395" s="59"/>
      <c r="G395" s="57"/>
      <c r="H395" s="57"/>
      <c r="I395" s="57"/>
      <c r="J395" s="57"/>
      <c r="K395" s="57"/>
      <c r="L395" s="57"/>
      <c r="M395" s="57"/>
      <c r="N395" s="57"/>
    </row>
    <row r="396" spans="1:14" ht="15" x14ac:dyDescent="0.35">
      <c r="A396" s="58"/>
      <c r="B396" s="57"/>
      <c r="C396" s="57"/>
      <c r="D396" s="57"/>
      <c r="E396" s="57"/>
      <c r="F396" s="59"/>
      <c r="G396" s="57"/>
      <c r="H396" s="57"/>
      <c r="I396" s="57"/>
      <c r="J396" s="57"/>
      <c r="K396" s="57"/>
      <c r="L396" s="57"/>
      <c r="M396" s="57"/>
      <c r="N396" s="57"/>
    </row>
    <row r="397" spans="1:14" ht="15" x14ac:dyDescent="0.35">
      <c r="A397" s="58"/>
      <c r="B397" s="57"/>
      <c r="C397" s="57"/>
      <c r="D397" s="57"/>
      <c r="E397" s="57"/>
      <c r="F397" s="59"/>
      <c r="G397" s="57"/>
      <c r="H397" s="57"/>
      <c r="I397" s="57"/>
      <c r="J397" s="57"/>
      <c r="K397" s="57"/>
      <c r="L397" s="57"/>
      <c r="M397" s="57"/>
      <c r="N397" s="57"/>
    </row>
    <row r="398" spans="1:14" ht="15" x14ac:dyDescent="0.35">
      <c r="A398" s="58"/>
      <c r="B398" s="57"/>
      <c r="C398" s="57"/>
      <c r="D398" s="57"/>
      <c r="E398" s="57"/>
      <c r="F398" s="59"/>
      <c r="G398" s="57"/>
      <c r="H398" s="57"/>
      <c r="I398" s="57"/>
      <c r="J398" s="57"/>
      <c r="K398" s="57"/>
      <c r="L398" s="57"/>
      <c r="M398" s="57"/>
      <c r="N398" s="57"/>
    </row>
    <row r="399" spans="1:14" ht="15" x14ac:dyDescent="0.35">
      <c r="A399" s="58"/>
      <c r="B399" s="57"/>
      <c r="C399" s="57"/>
      <c r="D399" s="57"/>
      <c r="E399" s="57"/>
      <c r="F399" s="59"/>
      <c r="G399" s="57"/>
      <c r="H399" s="57"/>
      <c r="I399" s="57"/>
      <c r="J399" s="57"/>
      <c r="K399" s="57"/>
      <c r="L399" s="57"/>
      <c r="M399" s="57"/>
      <c r="N399" s="57"/>
    </row>
    <row r="400" spans="1:14" ht="15" x14ac:dyDescent="0.35">
      <c r="A400" s="58"/>
      <c r="B400" s="57"/>
      <c r="C400" s="57"/>
      <c r="D400" s="57"/>
      <c r="E400" s="57"/>
      <c r="F400" s="59"/>
      <c r="G400" s="57"/>
      <c r="H400" s="57"/>
      <c r="I400" s="57"/>
      <c r="J400" s="57"/>
      <c r="K400" s="57"/>
      <c r="L400" s="57"/>
      <c r="M400" s="57"/>
      <c r="N400" s="57"/>
    </row>
    <row r="401" spans="1:14" ht="15" x14ac:dyDescent="0.35">
      <c r="A401" s="58"/>
      <c r="B401" s="57"/>
      <c r="C401" s="57"/>
      <c r="D401" s="57"/>
      <c r="E401" s="57"/>
      <c r="F401" s="59"/>
      <c r="G401" s="57"/>
      <c r="H401" s="57"/>
      <c r="I401" s="57"/>
      <c r="J401" s="57"/>
      <c r="K401" s="57"/>
      <c r="L401" s="57"/>
      <c r="M401" s="57"/>
      <c r="N401" s="57"/>
    </row>
    <row r="402" spans="1:14" ht="15" x14ac:dyDescent="0.35">
      <c r="A402" s="58"/>
      <c r="B402" s="57"/>
      <c r="C402" s="57"/>
      <c r="D402" s="57"/>
      <c r="E402" s="57"/>
      <c r="F402" s="59"/>
      <c r="G402" s="57"/>
      <c r="H402" s="57"/>
      <c r="I402" s="57"/>
      <c r="J402" s="57"/>
      <c r="K402" s="57"/>
      <c r="L402" s="57"/>
      <c r="M402" s="57"/>
      <c r="N402" s="57"/>
    </row>
    <row r="403" spans="1:14" ht="15" x14ac:dyDescent="0.35">
      <c r="A403" s="58"/>
      <c r="B403" s="57"/>
      <c r="C403" s="57"/>
      <c r="D403" s="57"/>
      <c r="E403" s="57"/>
      <c r="F403" s="59"/>
      <c r="G403" s="57"/>
      <c r="H403" s="57"/>
      <c r="I403" s="57"/>
      <c r="J403" s="57"/>
      <c r="K403" s="57"/>
      <c r="L403" s="57"/>
      <c r="M403" s="57"/>
      <c r="N403" s="57"/>
    </row>
    <row r="404" spans="1:14" ht="15" x14ac:dyDescent="0.35">
      <c r="A404" s="58"/>
      <c r="B404" s="57"/>
      <c r="C404" s="57"/>
      <c r="D404" s="57"/>
      <c r="E404" s="57"/>
      <c r="F404" s="59"/>
      <c r="G404" s="57"/>
      <c r="H404" s="57"/>
      <c r="I404" s="57"/>
      <c r="J404" s="57"/>
      <c r="K404" s="57"/>
      <c r="L404" s="57"/>
      <c r="M404" s="57"/>
      <c r="N404" s="57"/>
    </row>
    <row r="405" spans="1:14" ht="15" x14ac:dyDescent="0.35">
      <c r="A405" s="58"/>
      <c r="B405" s="57"/>
      <c r="C405" s="57"/>
      <c r="D405" s="57"/>
      <c r="E405" s="57"/>
      <c r="F405" s="59"/>
      <c r="G405" s="57"/>
      <c r="H405" s="57"/>
      <c r="I405" s="57"/>
      <c r="J405" s="57"/>
      <c r="K405" s="57"/>
      <c r="L405" s="57"/>
      <c r="M405" s="57"/>
      <c r="N405" s="57"/>
    </row>
    <row r="406" spans="1:14" ht="15" x14ac:dyDescent="0.35">
      <c r="A406" s="58"/>
      <c r="B406" s="57"/>
      <c r="C406" s="57"/>
      <c r="D406" s="57"/>
      <c r="E406" s="57"/>
      <c r="F406" s="59"/>
      <c r="G406" s="57"/>
      <c r="H406" s="57"/>
      <c r="I406" s="57"/>
      <c r="J406" s="57"/>
      <c r="K406" s="57"/>
      <c r="L406" s="57"/>
      <c r="M406" s="57"/>
      <c r="N406" s="57"/>
    </row>
    <row r="407" spans="1:14" ht="15" x14ac:dyDescent="0.35">
      <c r="A407" s="58"/>
      <c r="B407" s="57"/>
      <c r="C407" s="57"/>
      <c r="D407" s="57"/>
      <c r="E407" s="57"/>
      <c r="F407" s="59"/>
      <c r="G407" s="57"/>
      <c r="H407" s="57"/>
      <c r="I407" s="57"/>
      <c r="J407" s="57"/>
      <c r="K407" s="57"/>
      <c r="L407" s="57"/>
      <c r="M407" s="57"/>
      <c r="N407" s="57"/>
    </row>
    <row r="408" spans="1:14" ht="15" x14ac:dyDescent="0.35">
      <c r="A408" s="58"/>
      <c r="B408" s="57"/>
      <c r="C408" s="57"/>
      <c r="D408" s="57"/>
      <c r="E408" s="57"/>
      <c r="F408" s="59"/>
      <c r="G408" s="57"/>
      <c r="H408" s="57"/>
      <c r="I408" s="57"/>
      <c r="J408" s="57"/>
      <c r="K408" s="57"/>
      <c r="L408" s="57"/>
      <c r="M408" s="57"/>
      <c r="N408" s="57"/>
    </row>
    <row r="409" spans="1:14" ht="15" x14ac:dyDescent="0.35">
      <c r="A409" s="58"/>
      <c r="B409" s="57"/>
      <c r="C409" s="57"/>
      <c r="D409" s="57"/>
      <c r="E409" s="57"/>
      <c r="F409" s="59"/>
      <c r="G409" s="57"/>
      <c r="H409" s="57"/>
      <c r="I409" s="57"/>
      <c r="J409" s="57"/>
      <c r="K409" s="57"/>
      <c r="L409" s="57"/>
      <c r="M409" s="57"/>
      <c r="N409" s="57"/>
    </row>
    <row r="410" spans="1:14" ht="15" x14ac:dyDescent="0.35">
      <c r="A410" s="58"/>
      <c r="B410" s="57"/>
      <c r="C410" s="57"/>
      <c r="D410" s="57"/>
      <c r="E410" s="57"/>
      <c r="F410" s="59"/>
      <c r="G410" s="57"/>
      <c r="H410" s="57"/>
      <c r="I410" s="57"/>
      <c r="J410" s="57"/>
      <c r="K410" s="57"/>
      <c r="L410" s="57"/>
      <c r="M410" s="57"/>
      <c r="N410" s="57"/>
    </row>
    <row r="411" spans="1:14" ht="15" x14ac:dyDescent="0.35">
      <c r="A411" s="58"/>
      <c r="B411" s="57"/>
      <c r="C411" s="57"/>
      <c r="D411" s="57"/>
      <c r="E411" s="57"/>
      <c r="F411" s="59"/>
      <c r="G411" s="57"/>
      <c r="H411" s="57"/>
      <c r="I411" s="57"/>
      <c r="J411" s="57"/>
      <c r="K411" s="57"/>
      <c r="L411" s="57"/>
      <c r="M411" s="57"/>
      <c r="N411" s="57"/>
    </row>
    <row r="412" spans="1:14" ht="15" x14ac:dyDescent="0.35">
      <c r="A412" s="58"/>
      <c r="B412" s="57"/>
      <c r="C412" s="57"/>
      <c r="D412" s="57"/>
      <c r="E412" s="57"/>
      <c r="F412" s="59"/>
      <c r="G412" s="57"/>
      <c r="H412" s="57"/>
      <c r="I412" s="57"/>
      <c r="J412" s="57"/>
      <c r="K412" s="57"/>
      <c r="L412" s="57"/>
      <c r="M412" s="57"/>
      <c r="N412" s="57"/>
    </row>
    <row r="413" spans="1:14" ht="15" x14ac:dyDescent="0.35">
      <c r="A413" s="58"/>
      <c r="B413" s="57"/>
      <c r="C413" s="57"/>
      <c r="D413" s="57"/>
      <c r="E413" s="57"/>
      <c r="F413" s="59"/>
      <c r="G413" s="57"/>
      <c r="H413" s="57"/>
      <c r="I413" s="57"/>
      <c r="J413" s="57"/>
      <c r="K413" s="57"/>
      <c r="L413" s="57"/>
      <c r="M413" s="57"/>
      <c r="N413" s="57"/>
    </row>
    <row r="414" spans="1:14" ht="15" x14ac:dyDescent="0.35">
      <c r="A414" s="58"/>
      <c r="B414" s="57"/>
      <c r="C414" s="57"/>
      <c r="D414" s="57"/>
      <c r="E414" s="57"/>
      <c r="F414" s="59"/>
      <c r="G414" s="57"/>
      <c r="H414" s="57"/>
      <c r="I414" s="57"/>
      <c r="J414" s="57"/>
      <c r="K414" s="57"/>
      <c r="L414" s="57"/>
      <c r="M414" s="57"/>
      <c r="N414" s="57"/>
    </row>
    <row r="415" spans="1:14" ht="15" x14ac:dyDescent="0.35">
      <c r="A415" s="58"/>
      <c r="B415" s="57"/>
      <c r="C415" s="57"/>
      <c r="D415" s="57"/>
      <c r="E415" s="57"/>
      <c r="F415" s="59"/>
      <c r="G415" s="57"/>
      <c r="H415" s="57"/>
      <c r="I415" s="57"/>
      <c r="J415" s="57"/>
      <c r="K415" s="57"/>
      <c r="L415" s="57"/>
      <c r="M415" s="57"/>
      <c r="N415" s="57"/>
    </row>
    <row r="416" spans="1:14" ht="15" x14ac:dyDescent="0.35">
      <c r="A416" s="58"/>
      <c r="B416" s="57"/>
      <c r="C416" s="57"/>
      <c r="D416" s="57"/>
      <c r="E416" s="57"/>
      <c r="F416" s="59"/>
      <c r="G416" s="57"/>
      <c r="H416" s="57"/>
      <c r="I416" s="57"/>
      <c r="J416" s="57"/>
      <c r="K416" s="57"/>
      <c r="L416" s="57"/>
      <c r="M416" s="57"/>
      <c r="N416" s="57"/>
    </row>
    <row r="417" spans="1:14" ht="15" x14ac:dyDescent="0.35">
      <c r="A417" s="58"/>
      <c r="B417" s="57"/>
      <c r="C417" s="57"/>
      <c r="D417" s="57"/>
      <c r="E417" s="57"/>
      <c r="F417" s="59"/>
      <c r="G417" s="57"/>
      <c r="H417" s="57"/>
      <c r="I417" s="57"/>
      <c r="J417" s="57"/>
      <c r="K417" s="57"/>
      <c r="L417" s="57"/>
      <c r="M417" s="57"/>
      <c r="N417" s="57"/>
    </row>
    <row r="418" spans="1:14" ht="15" x14ac:dyDescent="0.35">
      <c r="A418" s="58"/>
      <c r="B418" s="57"/>
      <c r="C418" s="57"/>
      <c r="D418" s="57"/>
      <c r="E418" s="57"/>
      <c r="F418" s="59"/>
      <c r="G418" s="57"/>
      <c r="H418" s="57"/>
      <c r="I418" s="57"/>
      <c r="J418" s="57"/>
      <c r="K418" s="57"/>
      <c r="L418" s="57"/>
      <c r="M418" s="57"/>
      <c r="N418" s="57"/>
    </row>
    <row r="419" spans="1:14" ht="15" x14ac:dyDescent="0.35">
      <c r="A419" s="58"/>
      <c r="B419" s="57"/>
      <c r="C419" s="57"/>
      <c r="D419" s="57"/>
      <c r="E419" s="57"/>
      <c r="F419" s="59"/>
      <c r="G419" s="57"/>
      <c r="H419" s="57"/>
      <c r="I419" s="57"/>
      <c r="J419" s="57"/>
      <c r="K419" s="57"/>
      <c r="L419" s="57"/>
      <c r="M419" s="57"/>
      <c r="N419" s="57"/>
    </row>
    <row r="420" spans="1:14" ht="15" x14ac:dyDescent="0.35">
      <c r="A420" s="58"/>
      <c r="B420" s="57"/>
      <c r="C420" s="57"/>
      <c r="D420" s="57"/>
      <c r="E420" s="57"/>
      <c r="F420" s="59"/>
      <c r="G420" s="57"/>
      <c r="H420" s="57"/>
      <c r="I420" s="57"/>
      <c r="J420" s="57"/>
      <c r="K420" s="57"/>
      <c r="L420" s="57"/>
      <c r="M420" s="57"/>
      <c r="N420" s="57"/>
    </row>
    <row r="421" spans="1:14" ht="15" x14ac:dyDescent="0.35">
      <c r="A421" s="58"/>
      <c r="B421" s="57"/>
      <c r="C421" s="57"/>
      <c r="D421" s="57"/>
      <c r="E421" s="57"/>
      <c r="F421" s="59"/>
      <c r="G421" s="57"/>
      <c r="H421" s="57"/>
      <c r="I421" s="57"/>
      <c r="J421" s="57"/>
      <c r="K421" s="57"/>
      <c r="L421" s="57"/>
      <c r="M421" s="57"/>
      <c r="N421" s="57"/>
    </row>
    <row r="422" spans="1:14" ht="15" x14ac:dyDescent="0.35">
      <c r="A422" s="58"/>
      <c r="B422" s="57"/>
      <c r="C422" s="57"/>
      <c r="D422" s="57"/>
      <c r="E422" s="57"/>
      <c r="F422" s="59"/>
      <c r="G422" s="57"/>
      <c r="H422" s="57"/>
      <c r="I422" s="57"/>
      <c r="J422" s="57"/>
      <c r="K422" s="57"/>
      <c r="L422" s="57"/>
      <c r="M422" s="57"/>
      <c r="N422" s="57"/>
    </row>
    <row r="423" spans="1:14" ht="15" x14ac:dyDescent="0.35">
      <c r="A423" s="58"/>
      <c r="B423" s="57"/>
      <c r="C423" s="57"/>
      <c r="D423" s="57"/>
      <c r="E423" s="57"/>
      <c r="F423" s="59"/>
      <c r="G423" s="57"/>
      <c r="H423" s="57"/>
      <c r="I423" s="57"/>
      <c r="J423" s="57"/>
      <c r="K423" s="57"/>
      <c r="L423" s="57"/>
      <c r="M423" s="57"/>
      <c r="N423" s="57"/>
    </row>
    <row r="424" spans="1:14" ht="15" x14ac:dyDescent="0.35">
      <c r="A424" s="58"/>
      <c r="B424" s="57"/>
      <c r="C424" s="57"/>
      <c r="D424" s="57"/>
      <c r="E424" s="57"/>
      <c r="F424" s="59"/>
      <c r="G424" s="57"/>
      <c r="H424" s="57"/>
      <c r="I424" s="57"/>
      <c r="J424" s="57"/>
      <c r="K424" s="57"/>
      <c r="L424" s="57"/>
      <c r="M424" s="57"/>
      <c r="N424" s="57"/>
    </row>
    <row r="425" spans="1:14" ht="15" x14ac:dyDescent="0.35">
      <c r="A425" s="58"/>
      <c r="B425" s="57"/>
      <c r="C425" s="57"/>
      <c r="D425" s="57"/>
      <c r="E425" s="57"/>
      <c r="F425" s="59"/>
      <c r="G425" s="57"/>
      <c r="H425" s="57"/>
      <c r="I425" s="57"/>
      <c r="J425" s="57"/>
      <c r="K425" s="57"/>
      <c r="L425" s="57"/>
      <c r="M425" s="57"/>
      <c r="N425" s="57"/>
    </row>
    <row r="426" spans="1:14" ht="15" x14ac:dyDescent="0.35">
      <c r="A426" s="58"/>
      <c r="B426" s="57"/>
      <c r="C426" s="57"/>
      <c r="D426" s="57"/>
      <c r="E426" s="57"/>
      <c r="F426" s="59"/>
      <c r="G426" s="57"/>
      <c r="H426" s="57"/>
      <c r="I426" s="57"/>
      <c r="J426" s="57"/>
      <c r="K426" s="57"/>
      <c r="L426" s="57"/>
      <c r="M426" s="57"/>
      <c r="N426" s="57"/>
    </row>
    <row r="427" spans="1:14" ht="15" x14ac:dyDescent="0.35">
      <c r="A427" s="58"/>
      <c r="B427" s="57"/>
      <c r="C427" s="57"/>
      <c r="D427" s="57"/>
      <c r="E427" s="57"/>
      <c r="F427" s="59"/>
      <c r="G427" s="57"/>
      <c r="H427" s="57"/>
      <c r="I427" s="57"/>
      <c r="J427" s="57"/>
      <c r="K427" s="57"/>
      <c r="L427" s="57"/>
      <c r="M427" s="57"/>
      <c r="N427" s="57"/>
    </row>
    <row r="428" spans="1:14" ht="15" x14ac:dyDescent="0.35">
      <c r="A428" s="58"/>
      <c r="B428" s="57"/>
      <c r="C428" s="57"/>
      <c r="D428" s="57"/>
      <c r="E428" s="57"/>
      <c r="F428" s="59"/>
      <c r="G428" s="57"/>
      <c r="H428" s="57"/>
      <c r="I428" s="57"/>
      <c r="J428" s="57"/>
      <c r="K428" s="57"/>
      <c r="L428" s="57"/>
      <c r="M428" s="57"/>
      <c r="N428" s="57"/>
    </row>
    <row r="429" spans="1:14" ht="15" x14ac:dyDescent="0.35">
      <c r="A429" s="58"/>
      <c r="B429" s="57"/>
      <c r="C429" s="57"/>
      <c r="D429" s="57"/>
      <c r="E429" s="57"/>
      <c r="F429" s="59"/>
      <c r="G429" s="57"/>
      <c r="H429" s="57"/>
      <c r="I429" s="57"/>
      <c r="J429" s="57"/>
      <c r="K429" s="57"/>
      <c r="L429" s="57"/>
      <c r="M429" s="57"/>
      <c r="N429" s="57"/>
    </row>
    <row r="430" spans="1:14" ht="15" x14ac:dyDescent="0.35">
      <c r="A430" s="58"/>
      <c r="B430" s="57"/>
      <c r="C430" s="57"/>
      <c r="D430" s="57"/>
      <c r="E430" s="57"/>
      <c r="F430" s="59"/>
      <c r="G430" s="57"/>
      <c r="H430" s="57"/>
      <c r="I430" s="57"/>
      <c r="J430" s="57"/>
      <c r="K430" s="57"/>
      <c r="L430" s="57"/>
      <c r="M430" s="57"/>
      <c r="N430" s="57"/>
    </row>
    <row r="431" spans="1:14" ht="15" x14ac:dyDescent="0.35">
      <c r="A431" s="58"/>
      <c r="B431" s="57"/>
      <c r="C431" s="57"/>
      <c r="D431" s="57"/>
      <c r="E431" s="57"/>
      <c r="F431" s="59"/>
      <c r="G431" s="57"/>
      <c r="H431" s="57"/>
      <c r="I431" s="57"/>
      <c r="J431" s="57"/>
      <c r="K431" s="57"/>
      <c r="L431" s="57"/>
      <c r="M431" s="57"/>
      <c r="N431" s="57"/>
    </row>
    <row r="432" spans="1:14" ht="15" x14ac:dyDescent="0.35">
      <c r="A432" s="58"/>
      <c r="B432" s="57"/>
      <c r="C432" s="57"/>
      <c r="D432" s="57"/>
      <c r="E432" s="57"/>
      <c r="F432" s="59"/>
      <c r="G432" s="57"/>
      <c r="H432" s="57"/>
      <c r="I432" s="57"/>
      <c r="J432" s="57"/>
      <c r="K432" s="57"/>
      <c r="L432" s="57"/>
      <c r="M432" s="57"/>
      <c r="N432" s="57"/>
    </row>
    <row r="433" spans="1:14" ht="15" x14ac:dyDescent="0.35">
      <c r="A433" s="58"/>
      <c r="B433" s="57"/>
      <c r="C433" s="57"/>
      <c r="D433" s="57"/>
      <c r="E433" s="57"/>
      <c r="F433" s="59"/>
      <c r="G433" s="57"/>
      <c r="H433" s="57"/>
      <c r="I433" s="57"/>
      <c r="J433" s="57"/>
      <c r="K433" s="57"/>
      <c r="L433" s="57"/>
      <c r="M433" s="57"/>
      <c r="N433" s="57"/>
    </row>
    <row r="434" spans="1:14" ht="15" x14ac:dyDescent="0.35">
      <c r="A434" s="58"/>
      <c r="B434" s="57"/>
      <c r="C434" s="57"/>
      <c r="D434" s="57"/>
      <c r="E434" s="57"/>
      <c r="F434" s="59"/>
      <c r="G434" s="57"/>
      <c r="H434" s="57"/>
      <c r="I434" s="57"/>
      <c r="J434" s="57"/>
      <c r="K434" s="57"/>
      <c r="L434" s="57"/>
      <c r="M434" s="57"/>
      <c r="N434" s="57"/>
    </row>
    <row r="435" spans="1:14" ht="15" x14ac:dyDescent="0.35">
      <c r="A435" s="58"/>
      <c r="B435" s="57"/>
      <c r="C435" s="57"/>
      <c r="D435" s="57"/>
      <c r="E435" s="57"/>
      <c r="F435" s="59"/>
      <c r="G435" s="57"/>
      <c r="H435" s="57"/>
      <c r="I435" s="57"/>
      <c r="J435" s="57"/>
      <c r="K435" s="57"/>
      <c r="L435" s="57"/>
      <c r="M435" s="57"/>
      <c r="N435" s="57"/>
    </row>
    <row r="436" spans="1:14" ht="15" x14ac:dyDescent="0.35">
      <c r="A436" s="58"/>
      <c r="B436" s="57"/>
      <c r="C436" s="57"/>
      <c r="D436" s="57"/>
      <c r="E436" s="57"/>
      <c r="F436" s="59"/>
      <c r="G436" s="57"/>
      <c r="H436" s="57"/>
      <c r="I436" s="57"/>
      <c r="J436" s="57"/>
      <c r="K436" s="57"/>
      <c r="L436" s="57"/>
      <c r="M436" s="57"/>
      <c r="N436" s="57"/>
    </row>
    <row r="437" spans="1:14" ht="15" x14ac:dyDescent="0.35">
      <c r="A437" s="58"/>
      <c r="B437" s="57"/>
      <c r="C437" s="57"/>
      <c r="D437" s="57"/>
      <c r="E437" s="57"/>
      <c r="F437" s="59"/>
      <c r="G437" s="57"/>
      <c r="H437" s="57"/>
      <c r="I437" s="57"/>
      <c r="J437" s="57"/>
      <c r="K437" s="57"/>
      <c r="L437" s="57"/>
      <c r="M437" s="57"/>
      <c r="N437" s="57"/>
    </row>
    <row r="438" spans="1:14" ht="15" x14ac:dyDescent="0.35">
      <c r="A438" s="58"/>
      <c r="B438" s="57"/>
      <c r="C438" s="57"/>
      <c r="D438" s="57"/>
      <c r="E438" s="57"/>
      <c r="F438" s="59"/>
      <c r="G438" s="57"/>
      <c r="H438" s="57"/>
      <c r="I438" s="57"/>
      <c r="J438" s="57"/>
      <c r="K438" s="57"/>
      <c r="L438" s="57"/>
      <c r="M438" s="57"/>
      <c r="N438" s="57"/>
    </row>
    <row r="439" spans="1:14" ht="15" x14ac:dyDescent="0.35">
      <c r="A439" s="58"/>
      <c r="B439" s="57"/>
      <c r="C439" s="57"/>
      <c r="D439" s="57"/>
      <c r="E439" s="57"/>
      <c r="F439" s="59"/>
      <c r="G439" s="57"/>
      <c r="H439" s="57"/>
      <c r="I439" s="57"/>
      <c r="J439" s="57"/>
      <c r="K439" s="57"/>
      <c r="L439" s="57"/>
      <c r="M439" s="57"/>
      <c r="N439" s="57"/>
    </row>
    <row r="440" spans="1:14" ht="15" x14ac:dyDescent="0.35">
      <c r="A440" s="58"/>
      <c r="B440" s="57"/>
      <c r="C440" s="57"/>
      <c r="D440" s="57"/>
      <c r="E440" s="57"/>
      <c r="F440" s="59"/>
      <c r="G440" s="57"/>
      <c r="H440" s="57"/>
      <c r="I440" s="57"/>
      <c r="J440" s="57"/>
      <c r="K440" s="57"/>
      <c r="L440" s="57"/>
      <c r="M440" s="57"/>
      <c r="N440" s="57"/>
    </row>
    <row r="441" spans="1:14" ht="15" x14ac:dyDescent="0.35">
      <c r="A441" s="58"/>
      <c r="B441" s="57"/>
      <c r="C441" s="57"/>
      <c r="D441" s="57"/>
      <c r="E441" s="57"/>
      <c r="F441" s="59"/>
      <c r="G441" s="57"/>
      <c r="H441" s="57"/>
      <c r="I441" s="57"/>
      <c r="J441" s="57"/>
      <c r="K441" s="57"/>
      <c r="L441" s="57"/>
      <c r="M441" s="57"/>
      <c r="N441" s="57"/>
    </row>
    <row r="442" spans="1:14" ht="15" x14ac:dyDescent="0.35">
      <c r="A442" s="58"/>
      <c r="B442" s="57"/>
      <c r="C442" s="57"/>
      <c r="D442" s="57"/>
      <c r="E442" s="57"/>
      <c r="F442" s="59"/>
      <c r="G442" s="57"/>
      <c r="H442" s="57"/>
      <c r="I442" s="57"/>
      <c r="J442" s="57"/>
      <c r="K442" s="57"/>
      <c r="L442" s="57"/>
      <c r="M442" s="57"/>
      <c r="N442" s="57"/>
    </row>
    <row r="443" spans="1:14" ht="15" x14ac:dyDescent="0.35">
      <c r="A443" s="58"/>
      <c r="B443" s="57"/>
      <c r="C443" s="57"/>
      <c r="D443" s="57"/>
      <c r="E443" s="57"/>
      <c r="F443" s="59"/>
      <c r="G443" s="57"/>
      <c r="H443" s="57"/>
      <c r="I443" s="57"/>
      <c r="J443" s="57"/>
      <c r="K443" s="57"/>
      <c r="L443" s="57"/>
      <c r="M443" s="57"/>
      <c r="N443" s="57"/>
    </row>
    <row r="444" spans="1:14" ht="15" x14ac:dyDescent="0.35">
      <c r="A444" s="58"/>
      <c r="B444" s="57"/>
      <c r="C444" s="57"/>
      <c r="D444" s="57"/>
      <c r="E444" s="57"/>
      <c r="F444" s="59"/>
      <c r="G444" s="57"/>
      <c r="H444" s="57"/>
      <c r="I444" s="57"/>
      <c r="J444" s="57"/>
      <c r="K444" s="57"/>
      <c r="L444" s="57"/>
      <c r="M444" s="57"/>
      <c r="N444" s="57"/>
    </row>
    <row r="445" spans="1:14" ht="15" x14ac:dyDescent="0.35">
      <c r="A445" s="58"/>
      <c r="B445" s="57"/>
      <c r="C445" s="57"/>
      <c r="D445" s="57"/>
      <c r="E445" s="57"/>
      <c r="F445" s="59"/>
      <c r="G445" s="57"/>
      <c r="H445" s="57"/>
      <c r="I445" s="57"/>
      <c r="J445" s="57"/>
      <c r="K445" s="57"/>
      <c r="L445" s="57"/>
      <c r="M445" s="57"/>
      <c r="N445" s="57"/>
    </row>
    <row r="446" spans="1:14" ht="15" x14ac:dyDescent="0.35">
      <c r="A446" s="58"/>
      <c r="B446" s="57"/>
      <c r="C446" s="57"/>
      <c r="D446" s="57"/>
      <c r="E446" s="57"/>
      <c r="F446" s="59"/>
      <c r="G446" s="57"/>
      <c r="H446" s="57"/>
      <c r="I446" s="57"/>
      <c r="J446" s="57"/>
      <c r="K446" s="57"/>
      <c r="L446" s="57"/>
      <c r="M446" s="57"/>
      <c r="N446" s="57"/>
    </row>
    <row r="447" spans="1:14" ht="15" x14ac:dyDescent="0.35">
      <c r="A447" s="58"/>
      <c r="B447" s="57"/>
      <c r="C447" s="57"/>
      <c r="D447" s="57"/>
      <c r="E447" s="57"/>
      <c r="F447" s="59"/>
      <c r="G447" s="57"/>
      <c r="H447" s="57"/>
      <c r="I447" s="57"/>
      <c r="J447" s="57"/>
      <c r="K447" s="57"/>
      <c r="L447" s="57"/>
      <c r="M447" s="57"/>
      <c r="N447" s="57"/>
    </row>
    <row r="448" spans="1:14" ht="15" x14ac:dyDescent="0.35">
      <c r="A448" s="58"/>
      <c r="B448" s="57"/>
      <c r="C448" s="57"/>
      <c r="D448" s="57"/>
      <c r="E448" s="57"/>
      <c r="F448" s="59"/>
      <c r="G448" s="57"/>
      <c r="H448" s="57"/>
      <c r="I448" s="57"/>
      <c r="J448" s="57"/>
      <c r="K448" s="57"/>
      <c r="L448" s="57"/>
      <c r="M448" s="57"/>
      <c r="N448" s="57"/>
    </row>
    <row r="449" spans="1:14" ht="15" x14ac:dyDescent="0.35">
      <c r="A449" s="58"/>
      <c r="B449" s="57"/>
      <c r="C449" s="57"/>
      <c r="D449" s="57"/>
      <c r="E449" s="57"/>
      <c r="F449" s="59"/>
      <c r="G449" s="57"/>
      <c r="H449" s="57"/>
      <c r="I449" s="57"/>
      <c r="J449" s="57"/>
      <c r="K449" s="57"/>
      <c r="L449" s="57"/>
      <c r="M449" s="57"/>
      <c r="N449" s="57"/>
    </row>
    <row r="450" spans="1:14" ht="15" x14ac:dyDescent="0.35">
      <c r="A450" s="58"/>
      <c r="B450" s="57"/>
      <c r="C450" s="57"/>
      <c r="D450" s="57"/>
      <c r="E450" s="57"/>
      <c r="F450" s="59"/>
      <c r="G450" s="57"/>
      <c r="H450" s="57"/>
      <c r="I450" s="57"/>
      <c r="J450" s="57"/>
      <c r="K450" s="57"/>
      <c r="L450" s="57"/>
      <c r="M450" s="57"/>
      <c r="N450" s="57"/>
    </row>
    <row r="451" spans="1:14" ht="15" x14ac:dyDescent="0.35">
      <c r="A451" s="58"/>
      <c r="B451" s="57"/>
      <c r="C451" s="57"/>
      <c r="D451" s="57"/>
      <c r="E451" s="57"/>
      <c r="F451" s="59"/>
      <c r="G451" s="57"/>
      <c r="H451" s="57"/>
      <c r="I451" s="57"/>
      <c r="J451" s="57"/>
      <c r="K451" s="57"/>
      <c r="L451" s="57"/>
      <c r="M451" s="57"/>
      <c r="N451" s="57"/>
    </row>
    <row r="452" spans="1:14" ht="15" x14ac:dyDescent="0.35">
      <c r="A452" s="58"/>
      <c r="B452" s="57"/>
      <c r="C452" s="57"/>
      <c r="D452" s="57"/>
      <c r="E452" s="57"/>
      <c r="F452" s="59"/>
      <c r="G452" s="57"/>
      <c r="H452" s="57"/>
      <c r="I452" s="57"/>
      <c r="J452" s="57"/>
      <c r="K452" s="57"/>
      <c r="L452" s="57"/>
      <c r="M452" s="57"/>
      <c r="N452" s="57"/>
    </row>
    <row r="453" spans="1:14" ht="15" x14ac:dyDescent="0.35">
      <c r="A453" s="58"/>
      <c r="B453" s="57"/>
      <c r="C453" s="57"/>
      <c r="D453" s="57"/>
      <c r="E453" s="57"/>
      <c r="F453" s="59"/>
      <c r="G453" s="57"/>
      <c r="H453" s="57"/>
      <c r="I453" s="57"/>
      <c r="J453" s="57"/>
      <c r="K453" s="57"/>
      <c r="L453" s="57"/>
      <c r="M453" s="57"/>
      <c r="N453" s="57"/>
    </row>
    <row r="454" spans="1:14" ht="15" x14ac:dyDescent="0.35">
      <c r="A454" s="58"/>
      <c r="B454" s="57"/>
      <c r="C454" s="57"/>
      <c r="D454" s="57"/>
      <c r="E454" s="57"/>
      <c r="F454" s="59"/>
      <c r="G454" s="57"/>
      <c r="H454" s="57"/>
      <c r="I454" s="57"/>
      <c r="J454" s="57"/>
      <c r="K454" s="57"/>
      <c r="L454" s="57"/>
      <c r="M454" s="57"/>
      <c r="N454" s="57"/>
    </row>
    <row r="455" spans="1:14" ht="15" x14ac:dyDescent="0.35">
      <c r="A455" s="58"/>
      <c r="B455" s="57"/>
      <c r="C455" s="57"/>
      <c r="D455" s="57"/>
      <c r="E455" s="57"/>
      <c r="F455" s="59"/>
      <c r="G455" s="57"/>
      <c r="H455" s="57"/>
      <c r="I455" s="57"/>
      <c r="J455" s="57"/>
      <c r="K455" s="57"/>
      <c r="L455" s="57"/>
      <c r="M455" s="57"/>
      <c r="N455" s="57"/>
    </row>
    <row r="456" spans="1:14" ht="15" x14ac:dyDescent="0.35">
      <c r="A456" s="58"/>
      <c r="B456" s="57"/>
      <c r="C456" s="57"/>
      <c r="D456" s="57"/>
      <c r="E456" s="57"/>
      <c r="F456" s="59"/>
      <c r="G456" s="57"/>
      <c r="H456" s="57"/>
      <c r="I456" s="57"/>
      <c r="J456" s="57"/>
      <c r="K456" s="57"/>
      <c r="L456" s="57"/>
      <c r="M456" s="57"/>
      <c r="N456" s="57"/>
    </row>
    <row r="457" spans="1:14" ht="15" x14ac:dyDescent="0.35">
      <c r="A457" s="58"/>
      <c r="B457" s="57"/>
      <c r="C457" s="57"/>
      <c r="D457" s="57"/>
      <c r="E457" s="57"/>
      <c r="F457" s="59"/>
      <c r="G457" s="57"/>
      <c r="H457" s="57"/>
      <c r="I457" s="57"/>
      <c r="J457" s="57"/>
      <c r="K457" s="57"/>
      <c r="L457" s="57"/>
      <c r="M457" s="57"/>
      <c r="N457" s="57"/>
    </row>
    <row r="458" spans="1:14" ht="15" x14ac:dyDescent="0.35">
      <c r="A458" s="58"/>
      <c r="B458" s="57"/>
      <c r="C458" s="57"/>
      <c r="D458" s="57"/>
      <c r="E458" s="57"/>
      <c r="F458" s="59"/>
      <c r="G458" s="57"/>
      <c r="H458" s="57"/>
      <c r="I458" s="57"/>
      <c r="J458" s="57"/>
      <c r="K458" s="57"/>
      <c r="L458" s="57"/>
      <c r="M458" s="57"/>
      <c r="N458" s="57"/>
    </row>
    <row r="459" spans="1:14" ht="15" x14ac:dyDescent="0.35">
      <c r="A459" s="58"/>
      <c r="B459" s="57"/>
      <c r="C459" s="57"/>
      <c r="D459" s="57"/>
      <c r="E459" s="57"/>
      <c r="F459" s="59"/>
      <c r="G459" s="57"/>
      <c r="H459" s="57"/>
      <c r="I459" s="57"/>
      <c r="J459" s="57"/>
      <c r="K459" s="57"/>
      <c r="L459" s="57"/>
      <c r="M459" s="57"/>
      <c r="N459" s="57"/>
    </row>
    <row r="460" spans="1:14" ht="15" x14ac:dyDescent="0.35">
      <c r="A460" s="58"/>
      <c r="B460" s="57"/>
      <c r="C460" s="57"/>
      <c r="D460" s="57"/>
      <c r="E460" s="57"/>
      <c r="F460" s="59"/>
      <c r="G460" s="57"/>
      <c r="H460" s="57"/>
      <c r="I460" s="57"/>
      <c r="J460" s="57"/>
      <c r="K460" s="57"/>
      <c r="L460" s="57"/>
      <c r="M460" s="57"/>
      <c r="N460" s="57"/>
    </row>
    <row r="461" spans="1:14" ht="15" x14ac:dyDescent="0.35">
      <c r="A461" s="58"/>
      <c r="B461" s="57"/>
      <c r="C461" s="57"/>
      <c r="D461" s="57"/>
      <c r="E461" s="57"/>
      <c r="F461" s="59"/>
      <c r="G461" s="57"/>
      <c r="H461" s="57"/>
      <c r="I461" s="57"/>
      <c r="J461" s="57"/>
      <c r="K461" s="57"/>
      <c r="L461" s="57"/>
      <c r="M461" s="57"/>
      <c r="N461" s="57"/>
    </row>
    <row r="462" spans="1:14" ht="15" x14ac:dyDescent="0.35">
      <c r="A462" s="58"/>
      <c r="B462" s="57"/>
      <c r="C462" s="57"/>
      <c r="D462" s="57"/>
      <c r="E462" s="57"/>
      <c r="F462" s="59"/>
      <c r="G462" s="57"/>
      <c r="H462" s="57"/>
      <c r="I462" s="57"/>
      <c r="J462" s="57"/>
      <c r="K462" s="57"/>
      <c r="L462" s="57"/>
      <c r="M462" s="57"/>
      <c r="N462" s="57"/>
    </row>
    <row r="463" spans="1:14" ht="15" x14ac:dyDescent="0.35">
      <c r="A463" s="58"/>
      <c r="B463" s="57"/>
      <c r="C463" s="57"/>
      <c r="D463" s="57"/>
      <c r="E463" s="57"/>
      <c r="F463" s="59"/>
      <c r="G463" s="57"/>
      <c r="H463" s="57"/>
      <c r="I463" s="57"/>
      <c r="J463" s="57"/>
      <c r="K463" s="57"/>
      <c r="L463" s="57"/>
      <c r="M463" s="57"/>
      <c r="N463" s="57"/>
    </row>
    <row r="464" spans="1:14" ht="15" x14ac:dyDescent="0.35">
      <c r="A464" s="58"/>
      <c r="B464" s="57"/>
      <c r="C464" s="57"/>
      <c r="D464" s="57"/>
      <c r="E464" s="57"/>
      <c r="F464" s="59"/>
      <c r="G464" s="57"/>
      <c r="H464" s="57"/>
      <c r="I464" s="57"/>
      <c r="J464" s="57"/>
      <c r="K464" s="57"/>
      <c r="L464" s="57"/>
      <c r="M464" s="57"/>
      <c r="N464" s="57"/>
    </row>
    <row r="465" spans="1:14" ht="15" x14ac:dyDescent="0.35">
      <c r="A465" s="58"/>
      <c r="B465" s="57"/>
      <c r="C465" s="57"/>
      <c r="D465" s="57"/>
      <c r="E465" s="57"/>
      <c r="F465" s="59"/>
      <c r="G465" s="57"/>
      <c r="H465" s="57"/>
      <c r="I465" s="57"/>
      <c r="J465" s="57"/>
      <c r="K465" s="57"/>
      <c r="L465" s="57"/>
      <c r="M465" s="57"/>
      <c r="N465" s="57"/>
    </row>
    <row r="466" spans="1:14" ht="15" x14ac:dyDescent="0.35">
      <c r="A466" s="58"/>
      <c r="B466" s="57"/>
      <c r="C466" s="57"/>
      <c r="D466" s="57"/>
      <c r="E466" s="57"/>
      <c r="F466" s="59"/>
      <c r="G466" s="57"/>
      <c r="H466" s="57"/>
      <c r="I466" s="57"/>
      <c r="J466" s="57"/>
      <c r="K466" s="57"/>
      <c r="L466" s="57"/>
      <c r="M466" s="57"/>
      <c r="N466" s="57"/>
    </row>
    <row r="467" spans="1:14" ht="15" x14ac:dyDescent="0.35">
      <c r="A467" s="58"/>
      <c r="B467" s="57"/>
      <c r="C467" s="57"/>
      <c r="D467" s="57"/>
      <c r="E467" s="57"/>
      <c r="F467" s="59"/>
      <c r="G467" s="57"/>
      <c r="H467" s="57"/>
      <c r="I467" s="57"/>
      <c r="J467" s="57"/>
      <c r="K467" s="57"/>
      <c r="L467" s="57"/>
      <c r="M467" s="57"/>
      <c r="N467" s="57"/>
    </row>
    <row r="468" spans="1:14" ht="15" x14ac:dyDescent="0.35">
      <c r="A468" s="58"/>
      <c r="B468" s="57"/>
      <c r="C468" s="57"/>
      <c r="D468" s="57"/>
      <c r="E468" s="57"/>
      <c r="F468" s="59"/>
      <c r="G468" s="57"/>
      <c r="H468" s="57"/>
      <c r="I468" s="57"/>
      <c r="J468" s="57"/>
      <c r="K468" s="57"/>
      <c r="L468" s="57"/>
      <c r="M468" s="57"/>
      <c r="N468" s="57"/>
    </row>
    <row r="469" spans="1:14" ht="15" x14ac:dyDescent="0.35">
      <c r="A469" s="58"/>
      <c r="B469" s="57"/>
      <c r="C469" s="57"/>
      <c r="D469" s="57"/>
      <c r="E469" s="57"/>
      <c r="F469" s="59"/>
      <c r="G469" s="57"/>
      <c r="H469" s="57"/>
      <c r="I469" s="57"/>
      <c r="J469" s="57"/>
      <c r="K469" s="57"/>
      <c r="L469" s="57"/>
      <c r="M469" s="57"/>
      <c r="N469" s="57"/>
    </row>
    <row r="470" spans="1:14" ht="15" x14ac:dyDescent="0.35">
      <c r="A470" s="58"/>
      <c r="B470" s="57"/>
      <c r="C470" s="57"/>
      <c r="D470" s="57"/>
      <c r="E470" s="57"/>
      <c r="F470" s="59"/>
      <c r="G470" s="57"/>
      <c r="H470" s="57"/>
      <c r="I470" s="57"/>
      <c r="J470" s="57"/>
      <c r="K470" s="57"/>
      <c r="L470" s="57"/>
      <c r="M470" s="57"/>
      <c r="N470" s="57"/>
    </row>
    <row r="471" spans="1:14" ht="15" x14ac:dyDescent="0.35">
      <c r="A471" s="58"/>
      <c r="B471" s="57"/>
      <c r="C471" s="57"/>
      <c r="D471" s="57"/>
      <c r="E471" s="57"/>
      <c r="F471" s="59"/>
      <c r="G471" s="57"/>
      <c r="H471" s="57"/>
      <c r="I471" s="57"/>
      <c r="J471" s="57"/>
      <c r="K471" s="57"/>
      <c r="L471" s="57"/>
      <c r="M471" s="57"/>
      <c r="N471" s="57"/>
    </row>
    <row r="472" spans="1:14" ht="15" x14ac:dyDescent="0.35">
      <c r="A472" s="58"/>
      <c r="B472" s="57"/>
      <c r="C472" s="57"/>
      <c r="D472" s="57"/>
      <c r="E472" s="57"/>
      <c r="F472" s="59"/>
      <c r="G472" s="57"/>
      <c r="H472" s="57"/>
      <c r="I472" s="57"/>
      <c r="J472" s="57"/>
      <c r="K472" s="57"/>
      <c r="L472" s="57"/>
      <c r="M472" s="57"/>
      <c r="N472" s="57"/>
    </row>
    <row r="473" spans="1:14" ht="15" x14ac:dyDescent="0.35">
      <c r="A473" s="58"/>
      <c r="B473" s="57"/>
      <c r="C473" s="57"/>
      <c r="D473" s="57"/>
      <c r="E473" s="57"/>
      <c r="F473" s="59"/>
      <c r="G473" s="57"/>
      <c r="H473" s="57"/>
      <c r="I473" s="57"/>
      <c r="J473" s="57"/>
      <c r="K473" s="57"/>
      <c r="L473" s="57"/>
      <c r="M473" s="57"/>
      <c r="N473" s="57"/>
    </row>
    <row r="474" spans="1:14" ht="15" x14ac:dyDescent="0.35">
      <c r="A474" s="58"/>
      <c r="B474" s="57"/>
      <c r="C474" s="57"/>
      <c r="D474" s="57"/>
      <c r="E474" s="57"/>
      <c r="F474" s="59"/>
      <c r="G474" s="57"/>
      <c r="H474" s="57"/>
      <c r="I474" s="57"/>
      <c r="J474" s="57"/>
      <c r="K474" s="57"/>
      <c r="L474" s="57"/>
      <c r="M474" s="57"/>
      <c r="N474" s="57"/>
    </row>
    <row r="475" spans="1:14" ht="15" x14ac:dyDescent="0.35">
      <c r="A475" s="58"/>
      <c r="B475" s="57"/>
      <c r="C475" s="57"/>
      <c r="D475" s="57"/>
      <c r="E475" s="57"/>
      <c r="F475" s="59"/>
      <c r="G475" s="57"/>
      <c r="H475" s="57"/>
      <c r="I475" s="57"/>
      <c r="J475" s="57"/>
      <c r="K475" s="57"/>
      <c r="L475" s="57"/>
      <c r="M475" s="57"/>
      <c r="N475" s="57"/>
    </row>
    <row r="476" spans="1:14" ht="15" x14ac:dyDescent="0.35">
      <c r="A476" s="58"/>
      <c r="B476" s="57"/>
      <c r="C476" s="57"/>
      <c r="D476" s="57"/>
      <c r="E476" s="57"/>
      <c r="F476" s="59"/>
      <c r="G476" s="57"/>
      <c r="H476" s="57"/>
      <c r="I476" s="57"/>
      <c r="J476" s="57"/>
      <c r="K476" s="57"/>
      <c r="L476" s="57"/>
      <c r="M476" s="57"/>
      <c r="N476" s="57"/>
    </row>
    <row r="477" spans="1:14" ht="15" x14ac:dyDescent="0.35">
      <c r="A477" s="58"/>
      <c r="B477" s="57"/>
      <c r="C477" s="57"/>
      <c r="D477" s="57"/>
      <c r="E477" s="57"/>
      <c r="F477" s="59"/>
      <c r="G477" s="57"/>
      <c r="H477" s="57"/>
      <c r="I477" s="57"/>
      <c r="J477" s="57"/>
      <c r="K477" s="57"/>
      <c r="L477" s="57"/>
      <c r="M477" s="57"/>
      <c r="N477" s="57"/>
    </row>
    <row r="478" spans="1:14" ht="15" x14ac:dyDescent="0.35">
      <c r="A478" s="58"/>
      <c r="B478" s="57"/>
      <c r="C478" s="57"/>
      <c r="D478" s="57"/>
      <c r="E478" s="57"/>
      <c r="F478" s="59"/>
      <c r="G478" s="57"/>
      <c r="H478" s="57"/>
      <c r="I478" s="57"/>
      <c r="J478" s="57"/>
      <c r="K478" s="57"/>
      <c r="L478" s="57"/>
      <c r="M478" s="57"/>
      <c r="N478" s="57"/>
    </row>
    <row r="479" spans="1:14" ht="15" x14ac:dyDescent="0.35">
      <c r="A479" s="58"/>
      <c r="B479" s="57"/>
      <c r="C479" s="57"/>
      <c r="D479" s="57"/>
      <c r="E479" s="57"/>
      <c r="F479" s="59"/>
      <c r="G479" s="57"/>
      <c r="H479" s="57"/>
      <c r="I479" s="57"/>
      <c r="J479" s="57"/>
      <c r="K479" s="57"/>
      <c r="L479" s="57"/>
      <c r="M479" s="57"/>
      <c r="N479" s="57"/>
    </row>
    <row r="480" spans="1:14" ht="15" x14ac:dyDescent="0.35">
      <c r="A480" s="58"/>
      <c r="B480" s="57"/>
      <c r="C480" s="57"/>
      <c r="D480" s="57"/>
      <c r="E480" s="57"/>
      <c r="F480" s="59"/>
      <c r="G480" s="57"/>
      <c r="H480" s="57"/>
      <c r="I480" s="57"/>
      <c r="J480" s="57"/>
      <c r="K480" s="57"/>
      <c r="L480" s="57"/>
      <c r="M480" s="57"/>
      <c r="N480" s="57"/>
    </row>
    <row r="481" spans="1:14" ht="15" x14ac:dyDescent="0.35">
      <c r="A481" s="58"/>
      <c r="B481" s="57"/>
      <c r="C481" s="57"/>
      <c r="D481" s="57"/>
      <c r="E481" s="57"/>
      <c r="F481" s="59"/>
      <c r="G481" s="57"/>
      <c r="H481" s="57"/>
      <c r="I481" s="57"/>
      <c r="J481" s="57"/>
      <c r="K481" s="57"/>
      <c r="L481" s="57"/>
      <c r="M481" s="57"/>
      <c r="N481" s="57"/>
    </row>
    <row r="482" spans="1:14" ht="15" x14ac:dyDescent="0.35">
      <c r="A482" s="58"/>
      <c r="B482" s="57"/>
      <c r="C482" s="57"/>
      <c r="D482" s="57"/>
      <c r="E482" s="57"/>
      <c r="F482" s="59"/>
      <c r="G482" s="57"/>
      <c r="H482" s="57"/>
      <c r="I482" s="57"/>
      <c r="J482" s="57"/>
      <c r="K482" s="57"/>
      <c r="L482" s="57"/>
      <c r="M482" s="57"/>
      <c r="N482" s="57"/>
    </row>
    <row r="483" spans="1:14" ht="15" x14ac:dyDescent="0.35">
      <c r="A483" s="58"/>
      <c r="B483" s="57"/>
      <c r="C483" s="57"/>
      <c r="D483" s="57"/>
      <c r="E483" s="57"/>
      <c r="F483" s="59"/>
      <c r="G483" s="57"/>
      <c r="H483" s="57"/>
      <c r="I483" s="57"/>
      <c r="J483" s="57"/>
      <c r="K483" s="57"/>
      <c r="L483" s="57"/>
      <c r="M483" s="57"/>
      <c r="N483" s="57"/>
    </row>
    <row r="484" spans="1:14" ht="15" x14ac:dyDescent="0.35">
      <c r="A484" s="58"/>
      <c r="B484" s="57"/>
      <c r="C484" s="57"/>
      <c r="D484" s="57"/>
      <c r="E484" s="57"/>
      <c r="F484" s="59"/>
      <c r="G484" s="57"/>
      <c r="H484" s="57"/>
      <c r="I484" s="57"/>
      <c r="J484" s="57"/>
      <c r="K484" s="57"/>
      <c r="L484" s="57"/>
      <c r="M484" s="57"/>
      <c r="N484" s="57"/>
    </row>
    <row r="485" spans="1:14" ht="15" x14ac:dyDescent="0.35">
      <c r="A485" s="58"/>
      <c r="B485" s="57"/>
      <c r="C485" s="57"/>
      <c r="D485" s="57"/>
      <c r="E485" s="57"/>
      <c r="F485" s="59"/>
      <c r="G485" s="57"/>
      <c r="H485" s="57"/>
      <c r="I485" s="57"/>
      <c r="J485" s="57"/>
      <c r="K485" s="57"/>
      <c r="L485" s="57"/>
      <c r="M485" s="57"/>
      <c r="N485" s="57"/>
    </row>
    <row r="486" spans="1:14" ht="15" x14ac:dyDescent="0.35">
      <c r="A486" s="58"/>
      <c r="B486" s="57"/>
      <c r="C486" s="57"/>
      <c r="D486" s="57"/>
      <c r="E486" s="57"/>
      <c r="F486" s="59"/>
      <c r="G486" s="57"/>
      <c r="H486" s="57"/>
      <c r="I486" s="57"/>
      <c r="J486" s="57"/>
      <c r="K486" s="57"/>
      <c r="L486" s="57"/>
      <c r="M486" s="57"/>
      <c r="N486" s="57"/>
    </row>
    <row r="487" spans="1:14" ht="15" x14ac:dyDescent="0.35">
      <c r="A487" s="58"/>
      <c r="B487" s="57"/>
      <c r="C487" s="57"/>
      <c r="D487" s="57"/>
      <c r="E487" s="57"/>
      <c r="F487" s="59"/>
      <c r="G487" s="57"/>
      <c r="H487" s="57"/>
      <c r="I487" s="57"/>
      <c r="J487" s="57"/>
      <c r="K487" s="57"/>
      <c r="L487" s="57"/>
      <c r="M487" s="57"/>
      <c r="N487" s="57"/>
    </row>
    <row r="488" spans="1:14" ht="15" x14ac:dyDescent="0.35">
      <c r="A488" s="58"/>
      <c r="B488" s="57"/>
      <c r="C488" s="57"/>
      <c r="D488" s="57"/>
      <c r="E488" s="57"/>
      <c r="F488" s="59"/>
      <c r="G488" s="57"/>
      <c r="H488" s="57"/>
      <c r="I488" s="57"/>
      <c r="J488" s="57"/>
      <c r="K488" s="57"/>
      <c r="L488" s="57"/>
      <c r="M488" s="57"/>
      <c r="N488" s="57"/>
    </row>
    <row r="489" spans="1:14" ht="15" x14ac:dyDescent="0.35">
      <c r="A489" s="58"/>
      <c r="B489" s="57"/>
      <c r="C489" s="57"/>
      <c r="D489" s="57"/>
      <c r="E489" s="57"/>
      <c r="F489" s="59"/>
      <c r="G489" s="57"/>
      <c r="H489" s="57"/>
      <c r="I489" s="57"/>
      <c r="J489" s="57"/>
      <c r="K489" s="57"/>
      <c r="L489" s="57"/>
      <c r="M489" s="57"/>
      <c r="N489" s="57"/>
    </row>
    <row r="490" spans="1:14" ht="15" x14ac:dyDescent="0.35">
      <c r="A490" s="58"/>
      <c r="B490" s="57"/>
      <c r="C490" s="57"/>
      <c r="D490" s="57"/>
      <c r="E490" s="57"/>
      <c r="F490" s="59"/>
      <c r="G490" s="57"/>
      <c r="H490" s="57"/>
      <c r="I490" s="57"/>
      <c r="J490" s="57"/>
      <c r="K490" s="57"/>
      <c r="L490" s="57"/>
      <c r="M490" s="57"/>
      <c r="N490" s="57"/>
    </row>
    <row r="491" spans="1:14" ht="15" x14ac:dyDescent="0.35">
      <c r="A491" s="58"/>
      <c r="B491" s="57"/>
      <c r="C491" s="57"/>
      <c r="D491" s="57"/>
      <c r="E491" s="57"/>
      <c r="F491" s="59"/>
      <c r="G491" s="57"/>
      <c r="H491" s="57"/>
      <c r="I491" s="57"/>
      <c r="J491" s="57"/>
      <c r="K491" s="57"/>
      <c r="L491" s="57"/>
      <c r="M491" s="57"/>
      <c r="N491" s="57"/>
    </row>
    <row r="492" spans="1:14" ht="15" x14ac:dyDescent="0.35">
      <c r="A492" s="58"/>
      <c r="B492" s="57"/>
      <c r="C492" s="57"/>
      <c r="D492" s="57"/>
      <c r="E492" s="57"/>
      <c r="F492" s="59"/>
      <c r="G492" s="57"/>
      <c r="H492" s="57"/>
      <c r="I492" s="57"/>
      <c r="J492" s="57"/>
      <c r="K492" s="57"/>
      <c r="L492" s="57"/>
      <c r="M492" s="57"/>
      <c r="N492" s="57"/>
    </row>
    <row r="493" spans="1:14" ht="15" x14ac:dyDescent="0.35">
      <c r="A493" s="58"/>
      <c r="B493" s="57"/>
      <c r="C493" s="57"/>
      <c r="D493" s="57"/>
      <c r="E493" s="57"/>
      <c r="F493" s="59"/>
      <c r="G493" s="57"/>
      <c r="H493" s="57"/>
      <c r="I493" s="57"/>
      <c r="J493" s="57"/>
      <c r="K493" s="57"/>
      <c r="L493" s="57"/>
      <c r="M493" s="57"/>
      <c r="N493" s="57"/>
    </row>
    <row r="494" spans="1:14" ht="15" x14ac:dyDescent="0.35">
      <c r="A494" s="58"/>
      <c r="B494" s="57"/>
      <c r="C494" s="57"/>
      <c r="D494" s="57"/>
      <c r="E494" s="57"/>
      <c r="F494" s="59"/>
      <c r="G494" s="57"/>
      <c r="H494" s="57"/>
      <c r="I494" s="57"/>
      <c r="J494" s="57"/>
      <c r="K494" s="57"/>
      <c r="L494" s="57"/>
      <c r="M494" s="57"/>
      <c r="N494" s="57"/>
    </row>
    <row r="495" spans="1:14" ht="15" x14ac:dyDescent="0.35">
      <c r="A495" s="58"/>
      <c r="B495" s="57"/>
      <c r="C495" s="57"/>
      <c r="D495" s="57"/>
      <c r="E495" s="57"/>
      <c r="F495" s="59"/>
      <c r="G495" s="57"/>
      <c r="H495" s="57"/>
      <c r="I495" s="57"/>
      <c r="J495" s="57"/>
      <c r="K495" s="57"/>
      <c r="L495" s="57"/>
      <c r="M495" s="57"/>
      <c r="N495" s="57"/>
    </row>
    <row r="496" spans="1:14" ht="15" x14ac:dyDescent="0.35">
      <c r="A496" s="58"/>
      <c r="B496" s="57"/>
      <c r="C496" s="57"/>
      <c r="D496" s="57"/>
      <c r="E496" s="57"/>
      <c r="F496" s="59"/>
      <c r="G496" s="57"/>
      <c r="H496" s="57"/>
      <c r="I496" s="57"/>
      <c r="J496" s="57"/>
      <c r="K496" s="57"/>
      <c r="L496" s="57"/>
      <c r="M496" s="57"/>
      <c r="N496" s="57"/>
    </row>
    <row r="497" spans="1:14" ht="15" x14ac:dyDescent="0.35">
      <c r="A497" s="58"/>
      <c r="B497" s="57"/>
      <c r="C497" s="57"/>
      <c r="D497" s="57"/>
      <c r="E497" s="57"/>
      <c r="F497" s="59"/>
      <c r="G497" s="57"/>
      <c r="H497" s="57"/>
      <c r="I497" s="57"/>
      <c r="J497" s="57"/>
      <c r="K497" s="57"/>
      <c r="L497" s="57"/>
      <c r="M497" s="57"/>
      <c r="N497" s="57"/>
    </row>
    <row r="498" spans="1:14" ht="15" x14ac:dyDescent="0.35">
      <c r="A498" s="58"/>
      <c r="B498" s="57"/>
      <c r="C498" s="57"/>
      <c r="D498" s="57"/>
      <c r="E498" s="57"/>
      <c r="F498" s="59"/>
      <c r="G498" s="57"/>
      <c r="H498" s="57"/>
      <c r="I498" s="57"/>
      <c r="J498" s="57"/>
      <c r="K498" s="57"/>
      <c r="L498" s="57"/>
      <c r="M498" s="57"/>
      <c r="N498" s="57"/>
    </row>
    <row r="499" spans="1:14" ht="15" x14ac:dyDescent="0.35">
      <c r="A499" s="58"/>
      <c r="B499" s="57"/>
      <c r="C499" s="57"/>
      <c r="D499" s="57"/>
      <c r="E499" s="57"/>
      <c r="F499" s="59"/>
      <c r="G499" s="57"/>
      <c r="H499" s="57"/>
      <c r="I499" s="57"/>
      <c r="J499" s="57"/>
      <c r="K499" s="57"/>
      <c r="L499" s="57"/>
      <c r="M499" s="57"/>
      <c r="N499" s="57"/>
    </row>
    <row r="500" spans="1:14" ht="15" x14ac:dyDescent="0.35">
      <c r="A500" s="58"/>
      <c r="B500" s="57"/>
      <c r="C500" s="57"/>
      <c r="D500" s="57"/>
      <c r="E500" s="57"/>
      <c r="F500" s="59"/>
      <c r="G500" s="57"/>
      <c r="H500" s="57"/>
      <c r="I500" s="57"/>
      <c r="J500" s="57"/>
      <c r="K500" s="57"/>
      <c r="L500" s="57"/>
      <c r="M500" s="57"/>
      <c r="N500" s="57"/>
    </row>
    <row r="501" spans="1:14" ht="15" x14ac:dyDescent="0.35">
      <c r="A501" s="58"/>
      <c r="B501" s="57"/>
      <c r="C501" s="57"/>
      <c r="D501" s="57"/>
      <c r="E501" s="57"/>
      <c r="F501" s="59"/>
      <c r="G501" s="57"/>
      <c r="H501" s="57"/>
      <c r="I501" s="57"/>
      <c r="J501" s="57"/>
      <c r="K501" s="57"/>
      <c r="L501" s="57"/>
      <c r="M501" s="57"/>
      <c r="N501" s="57"/>
    </row>
    <row r="502" spans="1:14" ht="15" x14ac:dyDescent="0.35">
      <c r="A502" s="58"/>
      <c r="B502" s="57"/>
      <c r="C502" s="57"/>
      <c r="D502" s="57"/>
      <c r="E502" s="57"/>
      <c r="F502" s="59"/>
      <c r="G502" s="57"/>
      <c r="H502" s="57"/>
      <c r="I502" s="57"/>
      <c r="J502" s="57"/>
      <c r="K502" s="57"/>
      <c r="L502" s="57"/>
      <c r="M502" s="57"/>
      <c r="N502" s="57"/>
    </row>
    <row r="503" spans="1:14" ht="15" x14ac:dyDescent="0.35">
      <c r="A503" s="58"/>
      <c r="B503" s="57"/>
      <c r="C503" s="57"/>
      <c r="D503" s="57"/>
      <c r="E503" s="57"/>
      <c r="F503" s="59"/>
      <c r="G503" s="57"/>
      <c r="H503" s="57"/>
      <c r="I503" s="57"/>
      <c r="J503" s="57"/>
      <c r="K503" s="57"/>
      <c r="L503" s="57"/>
      <c r="M503" s="57"/>
      <c r="N503" s="57"/>
    </row>
    <row r="504" spans="1:14" ht="15" x14ac:dyDescent="0.35">
      <c r="A504" s="58"/>
      <c r="B504" s="57"/>
      <c r="C504" s="57"/>
      <c r="D504" s="57"/>
      <c r="E504" s="57"/>
      <c r="F504" s="59"/>
      <c r="G504" s="57"/>
      <c r="H504" s="57"/>
      <c r="I504" s="57"/>
      <c r="J504" s="57"/>
      <c r="K504" s="57"/>
      <c r="L504" s="57"/>
      <c r="M504" s="57"/>
      <c r="N504" s="57"/>
    </row>
    <row r="505" spans="1:14" ht="15" x14ac:dyDescent="0.35">
      <c r="A505" s="58"/>
      <c r="B505" s="57"/>
      <c r="C505" s="57"/>
      <c r="D505" s="57"/>
      <c r="E505" s="57"/>
      <c r="F505" s="59"/>
      <c r="G505" s="57"/>
      <c r="H505" s="57"/>
      <c r="I505" s="57"/>
      <c r="J505" s="57"/>
      <c r="K505" s="57"/>
      <c r="L505" s="57"/>
      <c r="M505" s="57"/>
      <c r="N505" s="57"/>
    </row>
    <row r="506" spans="1:14" ht="15" x14ac:dyDescent="0.35">
      <c r="A506" s="58"/>
      <c r="B506" s="57"/>
      <c r="C506" s="57"/>
      <c r="D506" s="57"/>
      <c r="E506" s="57"/>
      <c r="F506" s="59"/>
      <c r="G506" s="57"/>
      <c r="H506" s="57"/>
      <c r="I506" s="57"/>
      <c r="J506" s="57"/>
      <c r="K506" s="57"/>
      <c r="L506" s="57"/>
      <c r="M506" s="57"/>
      <c r="N506" s="57"/>
    </row>
    <row r="507" spans="1:14" ht="15" x14ac:dyDescent="0.35">
      <c r="A507" s="58"/>
      <c r="B507" s="57"/>
      <c r="C507" s="57"/>
      <c r="D507" s="57"/>
      <c r="E507" s="57"/>
      <c r="F507" s="59"/>
      <c r="G507" s="57"/>
      <c r="H507" s="57"/>
      <c r="I507" s="57"/>
      <c r="J507" s="57"/>
      <c r="K507" s="57"/>
      <c r="L507" s="57"/>
      <c r="M507" s="57"/>
      <c r="N507" s="57"/>
    </row>
    <row r="508" spans="1:14" ht="15" x14ac:dyDescent="0.35">
      <c r="A508" s="58"/>
      <c r="B508" s="57"/>
      <c r="C508" s="57"/>
      <c r="D508" s="57"/>
      <c r="E508" s="57"/>
      <c r="F508" s="59"/>
      <c r="G508" s="57"/>
      <c r="H508" s="57"/>
      <c r="I508" s="57"/>
      <c r="J508" s="57"/>
      <c r="K508" s="57"/>
      <c r="L508" s="57"/>
      <c r="M508" s="57"/>
      <c r="N508" s="57"/>
    </row>
    <row r="509" spans="1:14" ht="15" x14ac:dyDescent="0.35">
      <c r="A509" s="58"/>
      <c r="B509" s="57"/>
      <c r="C509" s="57"/>
      <c r="D509" s="57"/>
      <c r="E509" s="57"/>
      <c r="F509" s="59"/>
      <c r="G509" s="57"/>
      <c r="H509" s="57"/>
      <c r="I509" s="57"/>
      <c r="J509" s="57"/>
      <c r="K509" s="57"/>
      <c r="L509" s="57"/>
      <c r="M509" s="57"/>
      <c r="N509" s="57"/>
    </row>
    <row r="510" spans="1:14" ht="15" x14ac:dyDescent="0.35">
      <c r="A510" s="58"/>
      <c r="B510" s="57"/>
      <c r="C510" s="57"/>
      <c r="D510" s="57"/>
      <c r="E510" s="57"/>
      <c r="F510" s="59"/>
      <c r="G510" s="57"/>
      <c r="H510" s="57"/>
      <c r="I510" s="57"/>
      <c r="J510" s="57"/>
      <c r="K510" s="57"/>
      <c r="L510" s="57"/>
      <c r="M510" s="57"/>
      <c r="N510" s="57"/>
    </row>
    <row r="511" spans="1:14" ht="15" x14ac:dyDescent="0.35">
      <c r="A511" s="58"/>
      <c r="B511" s="57"/>
      <c r="C511" s="57"/>
      <c r="D511" s="57"/>
      <c r="E511" s="57"/>
      <c r="F511" s="59"/>
      <c r="G511" s="57"/>
      <c r="H511" s="57"/>
      <c r="I511" s="57"/>
      <c r="J511" s="57"/>
      <c r="K511" s="57"/>
      <c r="L511" s="57"/>
      <c r="M511" s="57"/>
      <c r="N511" s="57"/>
    </row>
    <row r="512" spans="1:14" ht="15" x14ac:dyDescent="0.35">
      <c r="A512" s="58"/>
      <c r="B512" s="57"/>
      <c r="C512" s="57"/>
      <c r="D512" s="57"/>
      <c r="E512" s="57"/>
      <c r="F512" s="59"/>
      <c r="G512" s="57"/>
      <c r="H512" s="57"/>
      <c r="I512" s="57"/>
      <c r="J512" s="57"/>
      <c r="K512" s="57"/>
      <c r="L512" s="57"/>
      <c r="M512" s="57"/>
      <c r="N512" s="57"/>
    </row>
    <row r="513" spans="1:14" ht="15" x14ac:dyDescent="0.35">
      <c r="A513" s="58"/>
      <c r="B513" s="57"/>
      <c r="C513" s="57"/>
      <c r="D513" s="57"/>
      <c r="E513" s="57"/>
      <c r="F513" s="59"/>
      <c r="G513" s="57"/>
      <c r="H513" s="57"/>
      <c r="I513" s="57"/>
      <c r="J513" s="57"/>
      <c r="K513" s="57"/>
      <c r="L513" s="57"/>
      <c r="M513" s="57"/>
      <c r="N513" s="57"/>
    </row>
    <row r="514" spans="1:14" ht="15" x14ac:dyDescent="0.35">
      <c r="A514" s="58"/>
      <c r="B514" s="57"/>
      <c r="C514" s="57"/>
      <c r="D514" s="57"/>
      <c r="E514" s="57"/>
      <c r="F514" s="59"/>
      <c r="G514" s="57"/>
      <c r="H514" s="57"/>
      <c r="I514" s="57"/>
      <c r="J514" s="57"/>
      <c r="K514" s="57"/>
      <c r="L514" s="57"/>
      <c r="M514" s="57"/>
      <c r="N514" s="57"/>
    </row>
    <row r="515" spans="1:14" ht="15" x14ac:dyDescent="0.35">
      <c r="A515" s="58"/>
      <c r="B515" s="57"/>
      <c r="C515" s="57"/>
      <c r="D515" s="57"/>
      <c r="E515" s="57"/>
      <c r="F515" s="59"/>
      <c r="G515" s="57"/>
      <c r="H515" s="57"/>
      <c r="I515" s="57"/>
      <c r="J515" s="57"/>
      <c r="K515" s="57"/>
      <c r="L515" s="57"/>
      <c r="M515" s="57"/>
      <c r="N515" s="57"/>
    </row>
    <row r="516" spans="1:14" ht="15" x14ac:dyDescent="0.35">
      <c r="A516" s="58"/>
      <c r="B516" s="57"/>
      <c r="C516" s="57"/>
      <c r="D516" s="57"/>
      <c r="E516" s="57"/>
      <c r="F516" s="59"/>
      <c r="G516" s="57"/>
      <c r="H516" s="57"/>
      <c r="I516" s="57"/>
      <c r="J516" s="57"/>
      <c r="K516" s="57"/>
      <c r="L516" s="57"/>
      <c r="M516" s="57"/>
      <c r="N516" s="57"/>
    </row>
    <row r="517" spans="1:14" ht="15" x14ac:dyDescent="0.35">
      <c r="A517" s="58"/>
      <c r="B517" s="57"/>
      <c r="C517" s="57"/>
      <c r="D517" s="57"/>
      <c r="E517" s="57"/>
      <c r="F517" s="59"/>
      <c r="G517" s="57"/>
      <c r="H517" s="57"/>
      <c r="I517" s="57"/>
      <c r="J517" s="57"/>
      <c r="K517" s="57"/>
      <c r="L517" s="57"/>
      <c r="M517" s="57"/>
      <c r="N517" s="57"/>
    </row>
    <row r="518" spans="1:14" ht="15" x14ac:dyDescent="0.35">
      <c r="A518" s="58"/>
      <c r="B518" s="57"/>
      <c r="C518" s="57"/>
      <c r="D518" s="57"/>
      <c r="E518" s="57"/>
      <c r="F518" s="59"/>
      <c r="G518" s="57"/>
      <c r="H518" s="57"/>
      <c r="I518" s="57"/>
      <c r="J518" s="57"/>
      <c r="K518" s="57"/>
      <c r="L518" s="57"/>
      <c r="M518" s="57"/>
      <c r="N518" s="57"/>
    </row>
    <row r="519" spans="1:14" ht="15" x14ac:dyDescent="0.35">
      <c r="A519" s="58"/>
      <c r="B519" s="57"/>
      <c r="C519" s="57"/>
      <c r="D519" s="57"/>
      <c r="E519" s="57"/>
      <c r="F519" s="59"/>
      <c r="G519" s="57"/>
      <c r="H519" s="57"/>
      <c r="I519" s="57"/>
      <c r="J519" s="57"/>
      <c r="K519" s="57"/>
      <c r="L519" s="57"/>
      <c r="M519" s="57"/>
      <c r="N519" s="57"/>
    </row>
    <row r="520" spans="1:14" ht="15" x14ac:dyDescent="0.35">
      <c r="A520" s="58"/>
      <c r="B520" s="57"/>
      <c r="C520" s="57"/>
      <c r="D520" s="57"/>
      <c r="E520" s="57"/>
      <c r="F520" s="59"/>
      <c r="G520" s="57"/>
      <c r="H520" s="57"/>
      <c r="I520" s="57"/>
      <c r="J520" s="57"/>
      <c r="K520" s="57"/>
      <c r="L520" s="57"/>
      <c r="M520" s="57"/>
      <c r="N520" s="57"/>
    </row>
    <row r="521" spans="1:14" ht="15" x14ac:dyDescent="0.35">
      <c r="A521" s="58"/>
      <c r="B521" s="57"/>
      <c r="C521" s="57"/>
      <c r="D521" s="57"/>
      <c r="E521" s="57"/>
      <c r="F521" s="59"/>
      <c r="G521" s="57"/>
      <c r="H521" s="57"/>
      <c r="I521" s="57"/>
      <c r="J521" s="57"/>
      <c r="K521" s="57"/>
      <c r="L521" s="57"/>
      <c r="M521" s="57"/>
      <c r="N521" s="57"/>
    </row>
    <row r="522" spans="1:14" ht="15" x14ac:dyDescent="0.35">
      <c r="A522" s="58"/>
      <c r="B522" s="57"/>
      <c r="C522" s="57"/>
      <c r="D522" s="57"/>
      <c r="E522" s="57"/>
      <c r="F522" s="59"/>
      <c r="G522" s="57"/>
      <c r="H522" s="57"/>
      <c r="I522" s="57"/>
      <c r="J522" s="57"/>
      <c r="K522" s="57"/>
      <c r="L522" s="57"/>
      <c r="M522" s="57"/>
      <c r="N522" s="57"/>
    </row>
    <row r="523" spans="1:14" ht="15" x14ac:dyDescent="0.35">
      <c r="A523" s="58"/>
      <c r="B523" s="57"/>
      <c r="C523" s="57"/>
      <c r="D523" s="57"/>
      <c r="E523" s="57"/>
      <c r="F523" s="59"/>
      <c r="G523" s="57"/>
      <c r="H523" s="57"/>
      <c r="I523" s="57"/>
      <c r="J523" s="57"/>
      <c r="K523" s="57"/>
      <c r="L523" s="57"/>
      <c r="M523" s="57"/>
      <c r="N523" s="57"/>
    </row>
    <row r="524" spans="1:14" ht="15" x14ac:dyDescent="0.35">
      <c r="A524" s="58"/>
      <c r="B524" s="57"/>
      <c r="C524" s="57"/>
      <c r="D524" s="57"/>
      <c r="E524" s="57"/>
      <c r="F524" s="59"/>
      <c r="G524" s="57"/>
      <c r="H524" s="57"/>
      <c r="I524" s="57"/>
      <c r="J524" s="57"/>
      <c r="K524" s="57"/>
      <c r="L524" s="57"/>
      <c r="M524" s="57"/>
      <c r="N524" s="57"/>
    </row>
    <row r="525" spans="1:14" ht="15" x14ac:dyDescent="0.35">
      <c r="A525" s="58"/>
      <c r="B525" s="57"/>
      <c r="C525" s="57"/>
      <c r="D525" s="57"/>
      <c r="E525" s="57"/>
      <c r="F525" s="59"/>
      <c r="G525" s="57"/>
      <c r="H525" s="57"/>
      <c r="I525" s="57"/>
      <c r="J525" s="57"/>
      <c r="K525" s="57"/>
      <c r="L525" s="57"/>
      <c r="M525" s="57"/>
      <c r="N525" s="57"/>
    </row>
    <row r="526" spans="1:14" ht="15" x14ac:dyDescent="0.35">
      <c r="A526" s="58"/>
      <c r="B526" s="57"/>
      <c r="C526" s="57"/>
      <c r="D526" s="57"/>
      <c r="E526" s="57"/>
      <c r="F526" s="59"/>
      <c r="G526" s="57"/>
      <c r="H526" s="57"/>
      <c r="I526" s="57"/>
      <c r="J526" s="57"/>
      <c r="K526" s="57"/>
      <c r="L526" s="57"/>
      <c r="M526" s="57"/>
      <c r="N526" s="57"/>
    </row>
    <row r="527" spans="1:14" ht="15" x14ac:dyDescent="0.35">
      <c r="A527" s="58"/>
      <c r="B527" s="57"/>
      <c r="C527" s="57"/>
      <c r="D527" s="57"/>
      <c r="E527" s="57"/>
      <c r="F527" s="59"/>
      <c r="G527" s="57"/>
      <c r="H527" s="57"/>
      <c r="I527" s="57"/>
      <c r="J527" s="57"/>
      <c r="K527" s="57"/>
      <c r="L527" s="57"/>
      <c r="M527" s="57"/>
      <c r="N527" s="57"/>
    </row>
    <row r="528" spans="1:14" ht="15" x14ac:dyDescent="0.35">
      <c r="A528" s="58"/>
      <c r="B528" s="57"/>
      <c r="C528" s="57"/>
      <c r="D528" s="57"/>
      <c r="E528" s="57"/>
      <c r="F528" s="59"/>
      <c r="G528" s="57"/>
      <c r="H528" s="57"/>
      <c r="I528" s="57"/>
      <c r="J528" s="57"/>
      <c r="K528" s="57"/>
      <c r="L528" s="57"/>
      <c r="M528" s="57"/>
      <c r="N528" s="57"/>
    </row>
    <row r="529" spans="1:14" ht="15" x14ac:dyDescent="0.35">
      <c r="A529" s="58"/>
      <c r="B529" s="57"/>
      <c r="C529" s="57"/>
      <c r="D529" s="57"/>
      <c r="E529" s="57"/>
      <c r="F529" s="59"/>
      <c r="G529" s="57"/>
      <c r="H529" s="57"/>
      <c r="I529" s="57"/>
      <c r="J529" s="57"/>
      <c r="K529" s="57"/>
      <c r="L529" s="57"/>
      <c r="M529" s="57"/>
      <c r="N529" s="57"/>
    </row>
    <row r="530" spans="1:14" ht="15" x14ac:dyDescent="0.35">
      <c r="A530" s="58"/>
      <c r="B530" s="57"/>
      <c r="C530" s="57"/>
      <c r="D530" s="57"/>
      <c r="E530" s="57"/>
      <c r="F530" s="59"/>
      <c r="G530" s="57"/>
      <c r="H530" s="57"/>
      <c r="I530" s="57"/>
      <c r="J530" s="57"/>
      <c r="K530" s="57"/>
      <c r="L530" s="57"/>
      <c r="M530" s="57"/>
      <c r="N530" s="57"/>
    </row>
    <row r="531" spans="1:14" ht="15" x14ac:dyDescent="0.35">
      <c r="A531" s="58"/>
      <c r="B531" s="57"/>
      <c r="C531" s="57"/>
      <c r="D531" s="57"/>
      <c r="E531" s="57"/>
      <c r="F531" s="59"/>
      <c r="G531" s="57"/>
      <c r="H531" s="57"/>
      <c r="I531" s="57"/>
      <c r="J531" s="57"/>
      <c r="K531" s="57"/>
      <c r="L531" s="57"/>
      <c r="M531" s="57"/>
      <c r="N531" s="57"/>
    </row>
    <row r="532" spans="1:14" ht="15" x14ac:dyDescent="0.35">
      <c r="A532" s="58"/>
      <c r="B532" s="57"/>
      <c r="C532" s="57"/>
      <c r="D532" s="57"/>
      <c r="E532" s="57"/>
      <c r="F532" s="59"/>
      <c r="G532" s="57"/>
      <c r="H532" s="57"/>
      <c r="I532" s="57"/>
      <c r="J532" s="57"/>
      <c r="K532" s="57"/>
      <c r="L532" s="57"/>
      <c r="M532" s="57"/>
      <c r="N532" s="57"/>
    </row>
    <row r="533" spans="1:14" ht="15" x14ac:dyDescent="0.35">
      <c r="A533" s="58"/>
      <c r="B533" s="57"/>
      <c r="C533" s="57"/>
      <c r="D533" s="57"/>
      <c r="E533" s="57"/>
      <c r="F533" s="59"/>
      <c r="G533" s="57"/>
      <c r="H533" s="57"/>
      <c r="I533" s="57"/>
      <c r="J533" s="57"/>
      <c r="K533" s="57"/>
      <c r="L533" s="57"/>
      <c r="M533" s="57"/>
      <c r="N533" s="57"/>
    </row>
    <row r="534" spans="1:14" ht="15" x14ac:dyDescent="0.35">
      <c r="A534" s="58"/>
      <c r="B534" s="57"/>
      <c r="C534" s="57"/>
      <c r="D534" s="57"/>
      <c r="E534" s="57"/>
      <c r="F534" s="59"/>
      <c r="G534" s="57"/>
      <c r="H534" s="57"/>
      <c r="I534" s="57"/>
      <c r="J534" s="57"/>
      <c r="K534" s="57"/>
      <c r="L534" s="57"/>
      <c r="M534" s="57"/>
      <c r="N534" s="57"/>
    </row>
    <row r="535" spans="1:14" ht="15" x14ac:dyDescent="0.35">
      <c r="A535" s="58"/>
      <c r="B535" s="57"/>
      <c r="C535" s="57"/>
      <c r="D535" s="57"/>
      <c r="E535" s="57"/>
      <c r="F535" s="59"/>
      <c r="G535" s="57"/>
      <c r="H535" s="57"/>
      <c r="I535" s="57"/>
      <c r="J535" s="57"/>
      <c r="K535" s="57"/>
      <c r="L535" s="57"/>
      <c r="M535" s="57"/>
      <c r="N535" s="57"/>
    </row>
    <row r="536" spans="1:14" ht="15" x14ac:dyDescent="0.35">
      <c r="A536" s="58"/>
      <c r="B536" s="57"/>
      <c r="C536" s="57"/>
      <c r="D536" s="57"/>
      <c r="E536" s="57"/>
      <c r="F536" s="59"/>
      <c r="G536" s="57"/>
      <c r="H536" s="57"/>
      <c r="I536" s="57"/>
      <c r="J536" s="57"/>
      <c r="K536" s="57"/>
      <c r="L536" s="57"/>
      <c r="M536" s="57"/>
      <c r="N536" s="57"/>
    </row>
    <row r="537" spans="1:14" ht="15" x14ac:dyDescent="0.35">
      <c r="A537" s="58"/>
      <c r="B537" s="57"/>
      <c r="C537" s="57"/>
      <c r="D537" s="57"/>
      <c r="E537" s="57"/>
      <c r="F537" s="59"/>
      <c r="G537" s="57"/>
      <c r="H537" s="57"/>
      <c r="I537" s="57"/>
      <c r="J537" s="57"/>
      <c r="K537" s="57"/>
      <c r="L537" s="57"/>
      <c r="M537" s="57"/>
      <c r="N537" s="57"/>
    </row>
    <row r="538" spans="1:14" ht="15" x14ac:dyDescent="0.35">
      <c r="A538" s="58"/>
      <c r="B538" s="57"/>
      <c r="C538" s="57"/>
      <c r="D538" s="57"/>
      <c r="E538" s="57"/>
      <c r="F538" s="59"/>
      <c r="G538" s="57"/>
      <c r="H538" s="57"/>
      <c r="I538" s="57"/>
      <c r="J538" s="57"/>
      <c r="K538" s="57"/>
      <c r="L538" s="57"/>
      <c r="M538" s="57"/>
      <c r="N538" s="57"/>
    </row>
    <row r="539" spans="1:14" ht="15" x14ac:dyDescent="0.35">
      <c r="A539" s="58"/>
      <c r="B539" s="57"/>
      <c r="C539" s="57"/>
      <c r="D539" s="57"/>
      <c r="E539" s="57"/>
      <c r="F539" s="59"/>
      <c r="G539" s="57"/>
      <c r="H539" s="57"/>
      <c r="I539" s="57"/>
      <c r="J539" s="57"/>
      <c r="K539" s="57"/>
      <c r="L539" s="57"/>
      <c r="M539" s="57"/>
      <c r="N539" s="57"/>
    </row>
    <row r="540" spans="1:14" ht="15" x14ac:dyDescent="0.35">
      <c r="A540" s="58"/>
      <c r="B540" s="57"/>
      <c r="C540" s="57"/>
      <c r="D540" s="57"/>
      <c r="E540" s="57"/>
      <c r="F540" s="59"/>
      <c r="G540" s="57"/>
      <c r="H540" s="57"/>
      <c r="I540" s="57"/>
      <c r="J540" s="57"/>
      <c r="K540" s="57"/>
      <c r="L540" s="57"/>
      <c r="M540" s="57"/>
      <c r="N540" s="57"/>
    </row>
    <row r="541" spans="1:14" ht="15" x14ac:dyDescent="0.35">
      <c r="A541" s="58"/>
      <c r="B541" s="57"/>
      <c r="C541" s="57"/>
      <c r="D541" s="57"/>
      <c r="E541" s="57"/>
      <c r="F541" s="59"/>
      <c r="G541" s="57"/>
      <c r="H541" s="57"/>
      <c r="I541" s="57"/>
      <c r="J541" s="57"/>
      <c r="K541" s="57"/>
      <c r="L541" s="57"/>
      <c r="M541" s="57"/>
      <c r="N541" s="57"/>
    </row>
    <row r="542" spans="1:14" ht="15" x14ac:dyDescent="0.35">
      <c r="A542" s="58"/>
      <c r="B542" s="57"/>
      <c r="C542" s="57"/>
      <c r="D542" s="57"/>
      <c r="E542" s="57"/>
      <c r="F542" s="59"/>
      <c r="G542" s="57"/>
      <c r="H542" s="57"/>
      <c r="I542" s="57"/>
      <c r="J542" s="57"/>
      <c r="K542" s="57"/>
      <c r="L542" s="57"/>
      <c r="M542" s="57"/>
      <c r="N542" s="57"/>
    </row>
    <row r="543" spans="1:14" ht="15" x14ac:dyDescent="0.35">
      <c r="A543" s="58"/>
      <c r="B543" s="57"/>
      <c r="C543" s="57"/>
      <c r="D543" s="57"/>
      <c r="E543" s="57"/>
      <c r="F543" s="59"/>
      <c r="G543" s="57"/>
      <c r="H543" s="57"/>
      <c r="I543" s="57"/>
      <c r="J543" s="57"/>
      <c r="K543" s="57"/>
      <c r="L543" s="57"/>
      <c r="M543" s="57"/>
      <c r="N543" s="57"/>
    </row>
    <row r="544" spans="1:14" ht="15" x14ac:dyDescent="0.35">
      <c r="A544" s="58"/>
      <c r="B544" s="57"/>
      <c r="C544" s="57"/>
      <c r="D544" s="57"/>
      <c r="E544" s="57"/>
      <c r="F544" s="59"/>
      <c r="G544" s="57"/>
      <c r="H544" s="57"/>
      <c r="I544" s="57"/>
      <c r="J544" s="57"/>
      <c r="K544" s="57"/>
      <c r="L544" s="57"/>
      <c r="M544" s="57"/>
      <c r="N544" s="57"/>
    </row>
    <row r="545" spans="1:14" ht="15" x14ac:dyDescent="0.35">
      <c r="A545" s="58"/>
      <c r="B545" s="57"/>
      <c r="C545" s="57"/>
      <c r="D545" s="57"/>
      <c r="E545" s="57"/>
      <c r="F545" s="59"/>
      <c r="G545" s="57"/>
      <c r="H545" s="57"/>
      <c r="I545" s="57"/>
      <c r="J545" s="57"/>
      <c r="K545" s="57"/>
      <c r="L545" s="57"/>
      <c r="M545" s="57"/>
      <c r="N545" s="57"/>
    </row>
    <row r="546" spans="1:14" ht="15" x14ac:dyDescent="0.35">
      <c r="A546" s="58"/>
      <c r="B546" s="57"/>
      <c r="C546" s="57"/>
      <c r="D546" s="57"/>
      <c r="E546" s="57"/>
      <c r="F546" s="59"/>
      <c r="G546" s="57"/>
      <c r="H546" s="57"/>
      <c r="I546" s="57"/>
      <c r="J546" s="57"/>
      <c r="K546" s="57"/>
      <c r="L546" s="57"/>
      <c r="M546" s="57"/>
      <c r="N546" s="57"/>
    </row>
    <row r="547" spans="1:14" ht="15" x14ac:dyDescent="0.35">
      <c r="A547" s="58"/>
      <c r="B547" s="57"/>
      <c r="C547" s="57"/>
      <c r="D547" s="57"/>
      <c r="E547" s="57"/>
      <c r="F547" s="59"/>
      <c r="G547" s="57"/>
      <c r="H547" s="57"/>
      <c r="I547" s="57"/>
      <c r="J547" s="57"/>
      <c r="K547" s="57"/>
      <c r="L547" s="57"/>
      <c r="M547" s="57"/>
      <c r="N547" s="57"/>
    </row>
    <row r="548" spans="1:14" ht="15" x14ac:dyDescent="0.35">
      <c r="A548" s="58"/>
      <c r="B548" s="57"/>
      <c r="C548" s="57"/>
      <c r="D548" s="57"/>
      <c r="E548" s="57"/>
      <c r="F548" s="59"/>
      <c r="G548" s="57"/>
      <c r="H548" s="57"/>
      <c r="I548" s="57"/>
      <c r="J548" s="57"/>
      <c r="K548" s="57"/>
      <c r="L548" s="57"/>
      <c r="M548" s="57"/>
      <c r="N548" s="57"/>
    </row>
    <row r="549" spans="1:14" ht="15" x14ac:dyDescent="0.35">
      <c r="A549" s="58"/>
      <c r="B549" s="57"/>
      <c r="C549" s="57"/>
      <c r="D549" s="57"/>
      <c r="E549" s="57"/>
      <c r="F549" s="59"/>
      <c r="G549" s="57"/>
      <c r="H549" s="57"/>
      <c r="I549" s="57"/>
      <c r="J549" s="57"/>
      <c r="K549" s="57"/>
      <c r="L549" s="57"/>
      <c r="M549" s="57"/>
      <c r="N549" s="57"/>
    </row>
    <row r="550" spans="1:14" ht="15" x14ac:dyDescent="0.35">
      <c r="A550" s="58"/>
      <c r="B550" s="57"/>
      <c r="C550" s="57"/>
      <c r="D550" s="57"/>
      <c r="E550" s="57"/>
      <c r="F550" s="59"/>
      <c r="G550" s="57"/>
      <c r="H550" s="57"/>
      <c r="I550" s="57"/>
      <c r="J550" s="57"/>
      <c r="K550" s="57"/>
      <c r="L550" s="57"/>
      <c r="M550" s="57"/>
      <c r="N550" s="57"/>
    </row>
    <row r="551" spans="1:14" ht="15" x14ac:dyDescent="0.35">
      <c r="A551" s="58"/>
      <c r="B551" s="57"/>
      <c r="C551" s="57"/>
      <c r="D551" s="57"/>
      <c r="E551" s="57"/>
      <c r="F551" s="59"/>
      <c r="G551" s="57"/>
      <c r="H551" s="57"/>
      <c r="I551" s="57"/>
      <c r="J551" s="57"/>
      <c r="K551" s="57"/>
      <c r="L551" s="57"/>
      <c r="M551" s="57"/>
      <c r="N551" s="57"/>
    </row>
    <row r="552" spans="1:14" ht="15" x14ac:dyDescent="0.35">
      <c r="A552" s="58"/>
      <c r="B552" s="57"/>
      <c r="C552" s="57"/>
      <c r="D552" s="57"/>
      <c r="E552" s="57"/>
      <c r="F552" s="59"/>
      <c r="G552" s="57"/>
      <c r="H552" s="57"/>
      <c r="I552" s="57"/>
      <c r="J552" s="57"/>
      <c r="K552" s="57"/>
      <c r="L552" s="57"/>
      <c r="M552" s="57"/>
      <c r="N552" s="57"/>
    </row>
    <row r="553" spans="1:14" ht="15" x14ac:dyDescent="0.35">
      <c r="A553" s="58"/>
      <c r="B553" s="57"/>
      <c r="C553" s="57"/>
      <c r="D553" s="57"/>
      <c r="E553" s="57"/>
      <c r="F553" s="59"/>
      <c r="G553" s="57"/>
      <c r="H553" s="57"/>
      <c r="I553" s="57"/>
      <c r="J553" s="57"/>
      <c r="K553" s="57"/>
      <c r="L553" s="57"/>
      <c r="M553" s="57"/>
      <c r="N553" s="57"/>
    </row>
  </sheetData>
  <sheetProtection password="A972" sheet="1" objects="1" scenarios="1"/>
  <mergeCells count="60">
    <mergeCell ref="A2:I2"/>
    <mergeCell ref="G150:H150"/>
    <mergeCell ref="G151:H151"/>
    <mergeCell ref="G152:H152"/>
    <mergeCell ref="G153:H153"/>
    <mergeCell ref="G145:H145"/>
    <mergeCell ref="G146:H146"/>
    <mergeCell ref="G147:H147"/>
    <mergeCell ref="G148:H148"/>
    <mergeCell ref="G149:H149"/>
    <mergeCell ref="A4:I4"/>
    <mergeCell ref="F104:I104"/>
    <mergeCell ref="F109:I109"/>
    <mergeCell ref="F110:I110"/>
    <mergeCell ref="F111:H111"/>
    <mergeCell ref="F112:H112"/>
    <mergeCell ref="A156:I156"/>
    <mergeCell ref="A170:I170"/>
    <mergeCell ref="B82:H82"/>
    <mergeCell ref="A62:I62"/>
    <mergeCell ref="B64:H64"/>
    <mergeCell ref="A145:B145"/>
    <mergeCell ref="A102:B102"/>
    <mergeCell ref="A100:I100"/>
    <mergeCell ref="A143:I143"/>
    <mergeCell ref="F105:H105"/>
    <mergeCell ref="F106:H106"/>
    <mergeCell ref="F107:H107"/>
    <mergeCell ref="F108:H108"/>
    <mergeCell ref="A101:I101"/>
    <mergeCell ref="F102:I102"/>
    <mergeCell ref="F103:I103"/>
    <mergeCell ref="F113:H113"/>
    <mergeCell ref="F114:H114"/>
    <mergeCell ref="F115:H115"/>
    <mergeCell ref="F116:H116"/>
    <mergeCell ref="F117:H117"/>
    <mergeCell ref="F118:H118"/>
    <mergeCell ref="F119:I119"/>
    <mergeCell ref="F120:H120"/>
    <mergeCell ref="F121:H121"/>
    <mergeCell ref="F122:H122"/>
    <mergeCell ref="F123:H123"/>
    <mergeCell ref="F124:H124"/>
    <mergeCell ref="F125:H125"/>
    <mergeCell ref="F126:I126"/>
    <mergeCell ref="F127:H127"/>
    <mergeCell ref="F128:H128"/>
    <mergeCell ref="F129:H129"/>
    <mergeCell ref="F130:H130"/>
    <mergeCell ref="F131:H131"/>
    <mergeCell ref="F132:H132"/>
    <mergeCell ref="F133:H133"/>
    <mergeCell ref="F139:H139"/>
    <mergeCell ref="F140:H140"/>
    <mergeCell ref="F134:H134"/>
    <mergeCell ref="F135:H135"/>
    <mergeCell ref="F136:H136"/>
    <mergeCell ref="F137:H137"/>
    <mergeCell ref="F138:H138"/>
  </mergeCells>
  <dataValidations count="14">
    <dataValidation allowBlank="1" showInputMessage="1" showErrorMessage="1" prompt="يرجى إدخال النسبة المئوية للمطلوبات المحتملة التي سيتم سحبها مما يؤدي إلى انخفاض التمويل المتاح" sqref="D58 B56 D56 B58"/>
    <dataValidation allowBlank="1" showInputMessage="1" showErrorMessage="1" prompt="النسبة المئوية محددة سلفًا وفق المبادئ الإرشادية رقم 6، يرجى تغييرها فقط إذا كان ذلك ملائمًا أو عند إجراء تحليل الحساسية_x000a_" sqref="B103:B104 B113 B109:B110"/>
    <dataValidation allowBlank="1" showInputMessage="1" showErrorMessage="1" prompt="يرجى إدخال النسبة المئوية التراكمية للأموال المسحوبة خلال 30 يومًا" sqref="D47 D12:D21 D24:D33 D36:D43 D50:D54 D45"/>
    <dataValidation allowBlank="1" showInputMessage="1" showErrorMessage="1" prompt="يرجى تحديد التغيير بالنسبة المئوية_x000a_" sqref="B151:B153"/>
    <dataValidation allowBlank="1" showInputMessage="1" showErrorMessage="1" prompt="تخيض الحساب بسبب توافر التمويل، ولكن بتكلفة أعلى، مثل متطلبات الضمانات العليا، عند وجود انخفاض في التمويل،" sqref="H221:H230"/>
    <dataValidation allowBlank="1" showInputMessage="1" showErrorMessage="1" prompt="يرجى تحديد نسبة المطلوبات التي لا يمكن تمديدها" sqref="G221:G230"/>
    <dataValidation allowBlank="1" showInputMessage="1" showErrorMessage="1" sqref="F134"/>
    <dataValidation allowBlank="1" showInputMessage="1" showErrorMessage="1" prompt="يرجى إدخال النسبة المئوية للأموال المسحوبة في كل يوم بوصفها نسبة مئوية من المبلغ المتبقي" sqref="D11 B11:B21 B24:B33 B36:B43 B45 B47 B50:B54"/>
    <dataValidation allowBlank="1" showInputMessage="1" showErrorMessage="1" prompt="النسبة المئوية محددة سلفاً وفق المبادئ الإرشادية رقم 6، يرجى تغييرها فقط إذا كان ذلك ملائماً أو عند إجراء تحليل الحساسية" sqref="I152"/>
    <dataValidation allowBlank="1" showInputMessage="1" showErrorMessage="1" prompt="يرجى تحديد النسبة المئوية للمطلوبات المتوقع تجديدها (على أساس مستمر)" sqref="B173:B182 B185:B194 B197:B206 B209:B218 B159:B168"/>
    <dataValidation allowBlank="1" showInputMessage="1" showErrorMessage="1" prompt="يرجى تحديد النسبة المئوية للموجودات التي لا يمكن تمديدها" sqref="G185:G194 G197:G206 G159:G168 G173:G182"/>
    <dataValidation allowBlank="1" showInputMessage="1" showErrorMessage="1" prompt="قد تتغير قيمة الموجودات لتعكس بذلك التطورات المتوقعة في السوق. يرجى التأكد من تجنب الحساب المزدوج للرهونات المقيدة (وطلبات تغطية الهامش ذات الصلة لتغطية التغير الحاصل في القيمة)" sqref="H159:H168 H173:H182 H185:H194 H197:H206"/>
    <dataValidation allowBlank="1" showInputMessage="1" showErrorMessage="1" prompt="النسبة المئوية محددة سلفًا وفق المبادئ الإرشادية رقم 6، يرجى تغييرها فقط إذا كان ذلك ملائمًا أو عند إجراء تحليل الحساسية" sqref="B105:B108 B111:B112 B114:B116 I140 I105:I108 I111:I118 I120:I125 I127:I136 B146:B150 I146:I151 I153"/>
    <dataValidation allowBlank="1" showInputMessage="1" showErrorMessage="1" prompt="تعبر الحسومات عن حقيقة مفادها أن التمويل ما زال متاحًا، ولكن بتكاليف أعلى، على سبيل المثال، متطلبات أعلى فيما يتعلق بالرهونات عندما يكون هناك انخفاض في التمويل" sqref="C159:C168 C173:C182 C185:C194 C197:C206 C209:C218"/>
  </dataValidations>
  <pageMargins left="0.70866141732283472" right="0.15748031496062992" top="0.74803149606299213" bottom="0.74803149606299213" header="0.31496062992125984" footer="0.31496062992125984"/>
  <pageSetup scale="60" fitToHeight="0" orientation="landscape" r:id="rId1"/>
  <headerFooter>
    <oddHeader xml:space="preserve">&amp;C&amp;"Sakkal Majalla,Regular"&amp;10مجلس الخدمات المالية الإسلامية 2017 ©
هذه الوثيقة هي جزء من الملاحظة الفنية رقم 2 (الملاحظة الفنية حول اختبارات الضغط للمؤسسات التي تقدم خدمات مالية إسلامية)، ديسمبر 2016
</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pageSetUpPr fitToPage="1"/>
  </sheetPr>
  <dimension ref="A1:K142"/>
  <sheetViews>
    <sheetView rightToLeft="1" view="pageLayout" topLeftCell="A4" zoomScale="90" zoomScaleNormal="100" zoomScaleSheetLayoutView="100" zoomScalePageLayoutView="90" workbookViewId="0">
      <selection activeCell="A11" sqref="A11"/>
    </sheetView>
  </sheetViews>
  <sheetFormatPr defaultColWidth="9.140625" defaultRowHeight="12.75" x14ac:dyDescent="0.2"/>
  <cols>
    <col min="1" max="1" width="60.7109375" style="32" customWidth="1"/>
    <col min="2" max="2" width="24.7109375" style="32" customWidth="1"/>
    <col min="3" max="3" width="3.7109375" style="33" customWidth="1"/>
    <col min="4" max="7" width="12.7109375" style="34" customWidth="1"/>
    <col min="8" max="8" width="16.28515625" style="34" bestFit="1" customWidth="1"/>
    <col min="9" max="11" width="9.140625" style="31"/>
    <col min="12" max="16384" width="9.140625" style="14"/>
  </cols>
  <sheetData>
    <row r="1" spans="1:11" ht="15" customHeight="1" thickBot="1" x14ac:dyDescent="0.25"/>
    <row r="2" spans="1:11" ht="15" customHeight="1" thickBot="1" x14ac:dyDescent="0.5">
      <c r="A2" s="1036" t="s">
        <v>158</v>
      </c>
      <c r="B2" s="1043"/>
      <c r="C2" s="1043"/>
      <c r="D2" s="1043"/>
      <c r="E2" s="1043"/>
      <c r="F2" s="1043"/>
      <c r="G2" s="1044"/>
      <c r="H2" s="44"/>
      <c r="I2" s="14"/>
      <c r="J2" s="14"/>
      <c r="K2" s="14"/>
    </row>
    <row r="3" spans="1:11" ht="15" customHeight="1" x14ac:dyDescent="0.2"/>
    <row r="4" spans="1:11" ht="15" customHeight="1" x14ac:dyDescent="0.35">
      <c r="A4" s="380" t="s">
        <v>159</v>
      </c>
      <c r="B4" s="381"/>
      <c r="C4" s="382"/>
      <c r="D4" s="383"/>
      <c r="E4" s="382"/>
      <c r="F4" s="382"/>
      <c r="G4" s="382"/>
      <c r="H4" s="382"/>
    </row>
    <row r="5" spans="1:11" ht="31.5" customHeight="1" x14ac:dyDescent="0.35">
      <c r="A5" s="384" t="s">
        <v>302</v>
      </c>
      <c r="B5" s="385" t="s">
        <v>303</v>
      </c>
      <c r="C5" s="386"/>
      <c r="D5" s="382"/>
      <c r="E5" s="383"/>
      <c r="F5" s="387"/>
      <c r="G5" s="388"/>
      <c r="H5" s="388"/>
    </row>
    <row r="6" spans="1:11" ht="15" customHeight="1" x14ac:dyDescent="0.35">
      <c r="A6" s="389"/>
      <c r="B6" s="389"/>
      <c r="C6" s="390"/>
      <c r="D6" s="382"/>
      <c r="E6" s="382"/>
      <c r="F6" s="382"/>
      <c r="G6" s="382"/>
      <c r="H6" s="382"/>
    </row>
    <row r="7" spans="1:11" s="15" customFormat="1" ht="15" customHeight="1" x14ac:dyDescent="0.35">
      <c r="A7" s="391" t="s">
        <v>272</v>
      </c>
      <c r="B7" s="392"/>
      <c r="C7" s="393"/>
      <c r="D7" s="393"/>
      <c r="E7" s="393"/>
      <c r="F7" s="393"/>
      <c r="G7" s="393"/>
      <c r="H7" s="796"/>
      <c r="I7" s="36"/>
      <c r="J7" s="36"/>
      <c r="K7" s="36"/>
    </row>
    <row r="8" spans="1:11" s="16" customFormat="1" ht="15" customHeight="1" x14ac:dyDescent="0.35">
      <c r="A8" s="394"/>
      <c r="B8" s="527" t="s">
        <v>307</v>
      </c>
      <c r="C8" s="395"/>
      <c r="D8" s="178" t="str">
        <f>+'2-Input - IIFS Liqudity'!I4</f>
        <v>المؤسسة رقم 1</v>
      </c>
      <c r="E8" s="178" t="str">
        <f>+'2-Input - IIFS Liqudity'!J4</f>
        <v>المؤسسة رقم 2</v>
      </c>
      <c r="F8" s="178" t="str">
        <f>+'2-Input - IIFS Liqudity'!K4</f>
        <v>المؤسسة رقم 3</v>
      </c>
      <c r="G8" s="178" t="str">
        <f>+'2-Input - IIFS Liqudity'!L4</f>
        <v>المؤسسة رقم 4</v>
      </c>
      <c r="H8" s="249" t="str">
        <f>+'2-Input - IIFS Liqudity'!M4</f>
        <v>المؤسسة رقم 5</v>
      </c>
      <c r="I8" s="35"/>
      <c r="J8" s="35"/>
      <c r="K8" s="35"/>
    </row>
    <row r="9" spans="1:11" s="16" customFormat="1" ht="15" customHeight="1" x14ac:dyDescent="0.35">
      <c r="A9" s="396"/>
      <c r="B9" s="396"/>
      <c r="C9" s="397"/>
      <c r="D9" s="190"/>
      <c r="E9" s="190"/>
      <c r="F9" s="190"/>
      <c r="G9" s="190"/>
      <c r="H9" s="190"/>
      <c r="I9" s="35"/>
      <c r="J9" s="35"/>
      <c r="K9" s="35"/>
    </row>
    <row r="10" spans="1:11" s="16" customFormat="1" ht="15" customHeight="1" x14ac:dyDescent="0.35">
      <c r="A10" s="398" t="s">
        <v>173</v>
      </c>
      <c r="B10" s="399"/>
      <c r="C10" s="400"/>
      <c r="D10" s="190"/>
      <c r="E10" s="190"/>
      <c r="F10" s="190"/>
      <c r="G10" s="190"/>
      <c r="H10" s="190"/>
      <c r="I10" s="35"/>
      <c r="J10" s="35"/>
      <c r="K10" s="35"/>
    </row>
    <row r="11" spans="1:11" s="16" customFormat="1" ht="15" customHeight="1" x14ac:dyDescent="0.35">
      <c r="A11" s="401" t="s">
        <v>14</v>
      </c>
      <c r="B11" s="528">
        <f>SUM(D11:H11)</f>
        <v>51614202.708443768</v>
      </c>
      <c r="C11" s="402"/>
      <c r="D11" s="403">
        <f>+'2-Input - IIFS Liqudity'!I38</f>
        <v>8669524.0434581805</v>
      </c>
      <c r="E11" s="403">
        <f>+'2-Input - IIFS Liqudity'!J38</f>
        <v>11332702.996863559</v>
      </c>
      <c r="F11" s="403">
        <f>+'2-Input - IIFS Liqudity'!K38</f>
        <v>13682818.30219198</v>
      </c>
      <c r="G11" s="403">
        <f>+'2-Input - IIFS Liqudity'!L38</f>
        <v>10103551.414809421</v>
      </c>
      <c r="H11" s="403">
        <f>+'2-Input - IIFS Liqudity'!M38</f>
        <v>7825605.9511206308</v>
      </c>
      <c r="I11" s="35"/>
      <c r="J11" s="35"/>
      <c r="K11" s="35"/>
    </row>
    <row r="12" spans="1:11" s="16" customFormat="1" ht="15" customHeight="1" x14ac:dyDescent="0.35">
      <c r="A12" s="404" t="s">
        <v>174</v>
      </c>
      <c r="B12" s="529">
        <f>SUM(D12:H12)</f>
        <v>22613418.628675736</v>
      </c>
      <c r="C12" s="405"/>
      <c r="D12" s="406">
        <f>+'2-Input - IIFS Liqudity'!I63</f>
        <v>5644580.0174437761</v>
      </c>
      <c r="E12" s="406">
        <f>+'2-Input - IIFS Liqudity'!J63</f>
        <v>3083727.12278128</v>
      </c>
      <c r="F12" s="406">
        <f>+'2-Input - IIFS Liqudity'!K63</f>
        <v>6184798.3828480197</v>
      </c>
      <c r="G12" s="406">
        <f>+'2-Input - IIFS Liqudity'!L63</f>
        <v>2556521.282619481</v>
      </c>
      <c r="H12" s="406">
        <f>+'2-Input - IIFS Liqudity'!M63</f>
        <v>5143791.8229831774</v>
      </c>
      <c r="I12" s="35"/>
      <c r="J12" s="35"/>
      <c r="K12" s="35"/>
    </row>
    <row r="13" spans="1:11" s="16" customFormat="1" ht="15" customHeight="1" x14ac:dyDescent="0.35">
      <c r="A13" s="404" t="s">
        <v>51</v>
      </c>
      <c r="B13" s="529">
        <f>SUM(D13:H13)</f>
        <v>82084134.373911291</v>
      </c>
      <c r="C13" s="405"/>
      <c r="D13" s="406">
        <f>+'2-Input - IIFS Liqudity'!I15</f>
        <v>16849328.640699401</v>
      </c>
      <c r="E13" s="406">
        <f>+'2-Input - IIFS Liqudity'!J15</f>
        <v>16545896.7205882</v>
      </c>
      <c r="F13" s="406">
        <f>+'2-Input - IIFS Liqudity'!K15</f>
        <v>15947302.0410292</v>
      </c>
      <c r="G13" s="406">
        <f>+'2-Input - IIFS Liqudity'!L15</f>
        <v>16447157.782196999</v>
      </c>
      <c r="H13" s="406">
        <f>+'2-Input - IIFS Liqudity'!M15</f>
        <v>16294449.189397499</v>
      </c>
      <c r="I13" s="35"/>
      <c r="J13" s="35"/>
      <c r="K13" s="35"/>
    </row>
    <row r="14" spans="1:11" s="16" customFormat="1" ht="15" customHeight="1" x14ac:dyDescent="0.35">
      <c r="A14" s="404" t="s">
        <v>314</v>
      </c>
      <c r="B14" s="529">
        <f>SUM(D14:H14)</f>
        <v>22285015.5</v>
      </c>
      <c r="C14" s="405"/>
      <c r="D14" s="407">
        <f>(SUMPRODUCT('2-Input - IIFS Liqudity'!I91:I103,'3-Assumptions'!$H$67:$H$79))</f>
        <v>4301737.8</v>
      </c>
      <c r="E14" s="407">
        <f>(SUMPRODUCT('2-Input - IIFS Liqudity'!J91:J103,'3-Assumptions'!$H$67:$H$79))</f>
        <v>4705496.8000000007</v>
      </c>
      <c r="F14" s="407">
        <f>(SUMPRODUCT('2-Input - IIFS Liqudity'!K91:K103,'3-Assumptions'!$H$67:$H$79))</f>
        <v>2970590.5</v>
      </c>
      <c r="G14" s="407">
        <f>(SUMPRODUCT('2-Input - IIFS Liqudity'!L91:L103,'3-Assumptions'!$H$67:$H$79))</f>
        <v>4495354.5999999996</v>
      </c>
      <c r="H14" s="407">
        <f>(SUMPRODUCT('2-Input - IIFS Liqudity'!M91:M103,'3-Assumptions'!$H$67:$H$79))</f>
        <v>5811835.8000000007</v>
      </c>
      <c r="I14" s="35"/>
      <c r="J14" s="35"/>
      <c r="K14" s="35"/>
    </row>
    <row r="15" spans="1:11" s="16" customFormat="1" ht="15" customHeight="1" x14ac:dyDescent="0.35">
      <c r="A15" s="408" t="s">
        <v>315</v>
      </c>
      <c r="B15" s="530">
        <f>SUM(D15:H15)</f>
        <v>59799118.873911291</v>
      </c>
      <c r="C15" s="409"/>
      <c r="D15" s="410">
        <f>'2-Input - IIFS Liqudity'!I15-D14</f>
        <v>12547590.840699401</v>
      </c>
      <c r="E15" s="410">
        <f>'2-Input - IIFS Liqudity'!J15-E14</f>
        <v>11840399.920588199</v>
      </c>
      <c r="F15" s="410">
        <f>'2-Input - IIFS Liqudity'!K15-F14</f>
        <v>12976711.5410292</v>
      </c>
      <c r="G15" s="410">
        <f>'2-Input - IIFS Liqudity'!L15-G14</f>
        <v>11951803.182196999</v>
      </c>
      <c r="H15" s="410">
        <f>'2-Input - IIFS Liqudity'!M15-H14</f>
        <v>10482613.389397498</v>
      </c>
      <c r="I15" s="35"/>
      <c r="J15" s="35"/>
      <c r="K15" s="35"/>
    </row>
    <row r="16" spans="1:11" s="16" customFormat="1" ht="15" customHeight="1" x14ac:dyDescent="0.35">
      <c r="A16" s="411"/>
      <c r="B16" s="411"/>
      <c r="C16" s="412"/>
      <c r="D16" s="413"/>
      <c r="E16" s="414"/>
      <c r="F16" s="414"/>
      <c r="G16" s="414"/>
      <c r="H16" s="414"/>
      <c r="I16" s="35"/>
      <c r="J16" s="35"/>
      <c r="K16" s="35"/>
    </row>
    <row r="17" spans="1:11" s="16" customFormat="1" ht="15" customHeight="1" x14ac:dyDescent="0.35">
      <c r="A17" s="398" t="s">
        <v>161</v>
      </c>
      <c r="B17" s="376" t="s">
        <v>307</v>
      </c>
      <c r="C17" s="415"/>
      <c r="D17" s="249" t="str">
        <f>D$8</f>
        <v>المؤسسة رقم 1</v>
      </c>
      <c r="E17" s="249" t="str">
        <f>E$8</f>
        <v>المؤسسة رقم 2</v>
      </c>
      <c r="F17" s="249" t="str">
        <f>F$8</f>
        <v>المؤسسة رقم 3</v>
      </c>
      <c r="G17" s="249" t="str">
        <f>G$8</f>
        <v>المؤسسة رقم 4</v>
      </c>
      <c r="H17" s="249" t="str">
        <f>H$8</f>
        <v>المؤسسة رقم 5</v>
      </c>
      <c r="I17" s="35"/>
      <c r="J17" s="35"/>
      <c r="K17" s="35"/>
    </row>
    <row r="18" spans="1:11" s="13" customFormat="1" ht="15" customHeight="1" x14ac:dyDescent="0.35">
      <c r="A18" s="416" t="s">
        <v>180</v>
      </c>
      <c r="B18" s="531">
        <f t="shared" ref="B18:B25" si="0">SUM(D18:H18)</f>
        <v>2763204.5612897389</v>
      </c>
      <c r="C18" s="402"/>
      <c r="D18" s="417">
        <f>SUM(D19:D21)</f>
        <v>464129.38927710499</v>
      </c>
      <c r="E18" s="418">
        <f>SUM(E19:E21)</f>
        <v>606704.64657884568</v>
      </c>
      <c r="F18" s="418">
        <f>SUM(F19:F21)</f>
        <v>732519.8096633656</v>
      </c>
      <c r="G18" s="418">
        <f>SUM(G19:G21)</f>
        <v>540901.10647121433</v>
      </c>
      <c r="H18" s="419">
        <f>SUM(H19:H21)</f>
        <v>418949.60929920821</v>
      </c>
      <c r="I18" s="33"/>
      <c r="J18" s="33"/>
      <c r="K18" s="33"/>
    </row>
    <row r="19" spans="1:11" s="16" customFormat="1" ht="15" customHeight="1" x14ac:dyDescent="0.35">
      <c r="A19" s="420" t="s">
        <v>176</v>
      </c>
      <c r="B19" s="528">
        <f t="shared" si="0"/>
        <v>2763204.5612897389</v>
      </c>
      <c r="C19" s="421"/>
      <c r="D19" s="422">
        <f>IF('5-Calculation'!C10,'5-Calculation'!C10,"n.a.")</f>
        <v>464129.38927710499</v>
      </c>
      <c r="E19" s="423">
        <f>IF('5-Calculation'!D10,'5-Calculation'!D10,"n.a.")</f>
        <v>606704.64657884568</v>
      </c>
      <c r="F19" s="423">
        <f>IF('5-Calculation'!E10,'5-Calculation'!E10,"n.a.")</f>
        <v>732519.8096633656</v>
      </c>
      <c r="G19" s="423">
        <f>IF('5-Calculation'!F10,'5-Calculation'!F10,"n.a.")</f>
        <v>540901.10647121433</v>
      </c>
      <c r="H19" s="424">
        <f>IF('5-Calculation'!G10,'5-Calculation'!G10,"n.a.")</f>
        <v>418949.60929920821</v>
      </c>
      <c r="I19" s="35"/>
      <c r="J19" s="35"/>
      <c r="K19" s="35"/>
    </row>
    <row r="20" spans="1:11" s="16" customFormat="1" ht="15" customHeight="1" x14ac:dyDescent="0.35">
      <c r="A20" s="425" t="s">
        <v>21</v>
      </c>
      <c r="B20" s="529">
        <f t="shared" si="0"/>
        <v>0</v>
      </c>
      <c r="C20" s="426"/>
      <c r="D20" s="427" t="s">
        <v>171</v>
      </c>
      <c r="E20" s="428" t="s">
        <v>171</v>
      </c>
      <c r="F20" s="428" t="s">
        <v>171</v>
      </c>
      <c r="G20" s="428" t="s">
        <v>171</v>
      </c>
      <c r="H20" s="429" t="s">
        <v>171</v>
      </c>
      <c r="I20" s="35"/>
      <c r="J20" s="35"/>
      <c r="K20" s="35"/>
    </row>
    <row r="21" spans="1:11" s="16" customFormat="1" ht="15" customHeight="1" x14ac:dyDescent="0.35">
      <c r="A21" s="425" t="s">
        <v>213</v>
      </c>
      <c r="B21" s="529">
        <f t="shared" si="0"/>
        <v>0</v>
      </c>
      <c r="C21" s="426"/>
      <c r="D21" s="427" t="s">
        <v>171</v>
      </c>
      <c r="E21" s="428" t="s">
        <v>171</v>
      </c>
      <c r="F21" s="428" t="s">
        <v>171</v>
      </c>
      <c r="G21" s="428" t="s">
        <v>171</v>
      </c>
      <c r="H21" s="429" t="s">
        <v>171</v>
      </c>
      <c r="I21" s="35"/>
      <c r="J21" s="35"/>
      <c r="K21" s="35"/>
    </row>
    <row r="22" spans="1:11" s="16" customFormat="1" ht="15" customHeight="1" x14ac:dyDescent="0.35">
      <c r="A22" s="430" t="s">
        <v>436</v>
      </c>
      <c r="B22" s="530"/>
      <c r="C22" s="431"/>
      <c r="D22" s="432">
        <f>+'5-Calculation'!C16</f>
        <v>15888</v>
      </c>
      <c r="E22" s="433">
        <f>+'5-Calculation'!D16</f>
        <v>12396</v>
      </c>
      <c r="F22" s="433">
        <f>+'5-Calculation'!E16</f>
        <v>3764</v>
      </c>
      <c r="G22" s="433">
        <f>+'5-Calculation'!F16</f>
        <v>18016</v>
      </c>
      <c r="H22" s="434">
        <f>+'5-Calculation'!G16</f>
        <v>13508</v>
      </c>
      <c r="I22" s="35"/>
      <c r="J22" s="35"/>
      <c r="K22" s="35"/>
    </row>
    <row r="23" spans="1:11" s="16" customFormat="1" ht="15" customHeight="1" x14ac:dyDescent="0.35">
      <c r="A23" s="435" t="s">
        <v>177</v>
      </c>
      <c r="B23" s="531">
        <f t="shared" si="0"/>
        <v>22285015.5</v>
      </c>
      <c r="C23" s="436"/>
      <c r="D23" s="437">
        <f>+'5-Calculation'!C17</f>
        <v>4301737.8</v>
      </c>
      <c r="E23" s="438">
        <f>+'5-Calculation'!D17</f>
        <v>4705496.8000000007</v>
      </c>
      <c r="F23" s="438">
        <f>+'5-Calculation'!E17</f>
        <v>2970590.5</v>
      </c>
      <c r="G23" s="438">
        <f>+'5-Calculation'!F17</f>
        <v>4495354.5999999996</v>
      </c>
      <c r="H23" s="439">
        <f>+'5-Calculation'!G17</f>
        <v>5811835.8000000007</v>
      </c>
      <c r="I23" s="35"/>
      <c r="J23" s="35"/>
      <c r="K23" s="35"/>
    </row>
    <row r="24" spans="1:11" s="16" customFormat="1" ht="15" customHeight="1" x14ac:dyDescent="0.35">
      <c r="A24" s="440" t="s">
        <v>178</v>
      </c>
      <c r="B24" s="296">
        <f>SUM(D24:H24)</f>
        <v>0</v>
      </c>
      <c r="C24" s="409"/>
      <c r="D24" s="417" t="s">
        <v>171</v>
      </c>
      <c r="E24" s="418" t="s">
        <v>171</v>
      </c>
      <c r="F24" s="418" t="s">
        <v>171</v>
      </c>
      <c r="G24" s="418" t="s">
        <v>171</v>
      </c>
      <c r="H24" s="419" t="s">
        <v>171</v>
      </c>
      <c r="I24" s="35"/>
      <c r="J24" s="35"/>
      <c r="K24" s="35"/>
    </row>
    <row r="25" spans="1:11" s="16" customFormat="1" ht="15" customHeight="1" x14ac:dyDescent="0.35">
      <c r="A25" s="435" t="s">
        <v>179</v>
      </c>
      <c r="B25" s="532">
        <f t="shared" si="0"/>
        <v>0</v>
      </c>
      <c r="C25" s="441"/>
      <c r="D25" s="442" t="s">
        <v>171</v>
      </c>
      <c r="E25" s="443" t="s">
        <v>171</v>
      </c>
      <c r="F25" s="443" t="s">
        <v>171</v>
      </c>
      <c r="G25" s="443" t="s">
        <v>171</v>
      </c>
      <c r="H25" s="444" t="s">
        <v>171</v>
      </c>
      <c r="I25" s="35"/>
      <c r="J25" s="35"/>
      <c r="K25" s="35"/>
    </row>
    <row r="26" spans="1:11" s="16" customFormat="1" ht="15" customHeight="1" x14ac:dyDescent="0.35">
      <c r="A26" s="445"/>
      <c r="B26" s="411"/>
      <c r="C26" s="412"/>
      <c r="D26" s="446"/>
      <c r="E26" s="447"/>
      <c r="F26" s="447"/>
      <c r="G26" s="447"/>
      <c r="H26" s="447"/>
      <c r="I26" s="35"/>
      <c r="J26" s="35"/>
      <c r="K26" s="35"/>
    </row>
    <row r="27" spans="1:11" s="16" customFormat="1" ht="15" customHeight="1" x14ac:dyDescent="0.35">
      <c r="A27" s="398" t="s">
        <v>162</v>
      </c>
      <c r="B27" s="376" t="s">
        <v>307</v>
      </c>
      <c r="C27" s="412"/>
      <c r="D27" s="249" t="str">
        <f>D$8</f>
        <v>المؤسسة رقم 1</v>
      </c>
      <c r="E27" s="249" t="str">
        <f>E$8</f>
        <v>المؤسسة رقم 2</v>
      </c>
      <c r="F27" s="249" t="str">
        <f>F$8</f>
        <v>المؤسسة رقم 3</v>
      </c>
      <c r="G27" s="249" t="str">
        <f>G$8</f>
        <v>المؤسسة رقم 4</v>
      </c>
      <c r="H27" s="249" t="str">
        <f>H$8</f>
        <v>المؤسسة رقم 5</v>
      </c>
      <c r="I27" s="35"/>
      <c r="J27" s="35"/>
      <c r="K27" s="35"/>
    </row>
    <row r="28" spans="1:11" s="13" customFormat="1" ht="15" customHeight="1" x14ac:dyDescent="0.35">
      <c r="A28" s="416" t="s">
        <v>181</v>
      </c>
      <c r="B28" s="531">
        <f t="shared" ref="B28:B39" si="1">SUM(D28:H28)</f>
        <v>2643398.7725674063</v>
      </c>
      <c r="C28" s="402"/>
      <c r="D28" s="417">
        <f>SUM(D29:D32)</f>
        <v>449059.3082193099</v>
      </c>
      <c r="E28" s="418">
        <f>SUM(E29:E32)</f>
        <v>578885.12490502081</v>
      </c>
      <c r="F28" s="418">
        <f>SUM(F29:F32)</f>
        <v>688063.54429590818</v>
      </c>
      <c r="G28" s="418">
        <f>SUM(G29:G32)</f>
        <v>522853.14487578621</v>
      </c>
      <c r="H28" s="419">
        <f>SUM(H29:H32)</f>
        <v>404537.65027138102</v>
      </c>
      <c r="I28" s="33"/>
      <c r="J28" s="33"/>
      <c r="K28" s="33"/>
    </row>
    <row r="29" spans="1:11" s="16" customFormat="1" ht="15" customHeight="1" x14ac:dyDescent="0.35">
      <c r="A29" s="448" t="s">
        <v>182</v>
      </c>
      <c r="B29" s="528">
        <f t="shared" si="1"/>
        <v>2581734.7725674063</v>
      </c>
      <c r="C29" s="449"/>
      <c r="D29" s="422">
        <f>+'5-Calculation'!C21</f>
        <v>433648.3082193099</v>
      </c>
      <c r="E29" s="423">
        <f>+'5-Calculation'!D21</f>
        <v>566860.12490502081</v>
      </c>
      <c r="F29" s="423">
        <f>+'5-Calculation'!E21</f>
        <v>684412.54429590818</v>
      </c>
      <c r="G29" s="423">
        <f>+'5-Calculation'!F21</f>
        <v>505378.14487578621</v>
      </c>
      <c r="H29" s="424">
        <f>+'5-Calculation'!G21</f>
        <v>391435.65027138102</v>
      </c>
      <c r="I29" s="35"/>
      <c r="J29" s="35"/>
      <c r="K29" s="35"/>
    </row>
    <row r="30" spans="1:11" s="16" customFormat="1" ht="15" customHeight="1" x14ac:dyDescent="0.35">
      <c r="A30" s="450" t="s">
        <v>224</v>
      </c>
      <c r="B30" s="267">
        <f t="shared" si="1"/>
        <v>0</v>
      </c>
      <c r="C30" s="451"/>
      <c r="D30" s="427">
        <f>+'5-Calculation'!C22</f>
        <v>0</v>
      </c>
      <c r="E30" s="428">
        <v>0</v>
      </c>
      <c r="F30" s="428">
        <v>0</v>
      </c>
      <c r="G30" s="428">
        <v>0</v>
      </c>
      <c r="H30" s="429">
        <v>0</v>
      </c>
      <c r="I30" s="35"/>
      <c r="J30" s="35"/>
      <c r="K30" s="35"/>
    </row>
    <row r="31" spans="1:11" s="16" customFormat="1" ht="15" customHeight="1" x14ac:dyDescent="0.35">
      <c r="A31" s="450" t="s">
        <v>214</v>
      </c>
      <c r="B31" s="267">
        <f t="shared" si="1"/>
        <v>0</v>
      </c>
      <c r="C31" s="451"/>
      <c r="D31" s="427" t="s">
        <v>171</v>
      </c>
      <c r="E31" s="428" t="s">
        <v>171</v>
      </c>
      <c r="F31" s="428" t="s">
        <v>171</v>
      </c>
      <c r="G31" s="428" t="s">
        <v>171</v>
      </c>
      <c r="H31" s="429" t="s">
        <v>171</v>
      </c>
      <c r="I31" s="35"/>
      <c r="J31" s="35"/>
      <c r="K31" s="35"/>
    </row>
    <row r="32" spans="1:11" s="16" customFormat="1" ht="15" customHeight="1" x14ac:dyDescent="0.35">
      <c r="A32" s="450" t="str">
        <f>+A22</f>
        <v>تدفقات الحسابات الاستثمارية المقيدة القائمة على المشاركة في الأرباح الصادرة</v>
      </c>
      <c r="B32" s="267">
        <f t="shared" si="1"/>
        <v>61664</v>
      </c>
      <c r="C32" s="451"/>
      <c r="D32" s="432">
        <f>+'5-Calculation'!C27</f>
        <v>15411</v>
      </c>
      <c r="E32" s="433">
        <f>+'5-Calculation'!D27</f>
        <v>12025</v>
      </c>
      <c r="F32" s="433">
        <f>+'5-Calculation'!E27</f>
        <v>3651</v>
      </c>
      <c r="G32" s="433">
        <f>+'5-Calculation'!F27</f>
        <v>17475</v>
      </c>
      <c r="H32" s="434">
        <f>+'5-Calculation'!G27</f>
        <v>13102</v>
      </c>
      <c r="I32" s="35"/>
      <c r="J32" s="35"/>
      <c r="K32" s="35"/>
    </row>
    <row r="33" spans="1:11" s="13" customFormat="1" ht="15" customHeight="1" x14ac:dyDescent="0.35">
      <c r="A33" s="416" t="s">
        <v>183</v>
      </c>
      <c r="B33" s="531">
        <f t="shared" si="1"/>
        <v>5470175.3338571452</v>
      </c>
      <c r="C33" s="402"/>
      <c r="D33" s="417">
        <f>IF(ISNUMBER(SUM(D34:D37)),SUM(D34:D37),0)</f>
        <v>929076.69749641488</v>
      </c>
      <c r="E33" s="418">
        <f>IF(ISNUMBER(SUM(E34:E37)),SUM(E34:E37),0)</f>
        <v>1197985.7714838665</v>
      </c>
      <c r="F33" s="418">
        <f>IF(ISNUMBER(SUM(F34:F37)),SUM(F34:F37),0)</f>
        <v>1424347.3539592738</v>
      </c>
      <c r="G33" s="418">
        <f>IF(ISNUMBER(SUM(G34:G37)),SUM(G34:G37),0)</f>
        <v>1081770.2513470005</v>
      </c>
      <c r="H33" s="419">
        <f>IF(ISNUMBER(SUM(H34:H37)),SUM(H34:H37),0)</f>
        <v>836995.25957058929</v>
      </c>
      <c r="I33" s="33"/>
      <c r="J33" s="33"/>
      <c r="K33" s="33"/>
    </row>
    <row r="34" spans="1:11" s="16" customFormat="1" ht="15" customHeight="1" x14ac:dyDescent="0.35">
      <c r="A34" s="420" t="s">
        <v>184</v>
      </c>
      <c r="B34" s="533">
        <f t="shared" si="1"/>
        <v>5344939.3338571452</v>
      </c>
      <c r="C34" s="421"/>
      <c r="D34" s="422">
        <f>IF(ISNUMBER(D19+D29),D19+D29,0)</f>
        <v>897777.69749641488</v>
      </c>
      <c r="E34" s="423">
        <f>IF(ISNUMBER(E19+E29),E19+E29,0)</f>
        <v>1173564.7714838665</v>
      </c>
      <c r="F34" s="423">
        <f>IF(ISNUMBER(F19+F29),F19+F29,0)</f>
        <v>1416932.3539592738</v>
      </c>
      <c r="G34" s="423">
        <f>IF(ISNUMBER(G19+G29),G19+G29,0)</f>
        <v>1046279.2513470005</v>
      </c>
      <c r="H34" s="424">
        <f>IF(ISNUMBER(H19+H29),H19+H29,0)</f>
        <v>810385.25957058929</v>
      </c>
      <c r="I34" s="35"/>
      <c r="J34" s="35"/>
      <c r="K34" s="35"/>
    </row>
    <row r="35" spans="1:11" s="16" customFormat="1" ht="15" customHeight="1" x14ac:dyDescent="0.35">
      <c r="A35" s="425" t="s">
        <v>185</v>
      </c>
      <c r="B35" s="534">
        <f t="shared" si="1"/>
        <v>0</v>
      </c>
      <c r="C35" s="426"/>
      <c r="D35" s="427">
        <f>IF(ISNUMBER(D20+D30),D20+D30,0)</f>
        <v>0</v>
      </c>
      <c r="E35" s="428">
        <f t="shared" ref="E35:H36" si="2">IF(ISNUMBER(E20+E30),E20+E30,0)</f>
        <v>0</v>
      </c>
      <c r="F35" s="428">
        <f t="shared" si="2"/>
        <v>0</v>
      </c>
      <c r="G35" s="428">
        <f t="shared" si="2"/>
        <v>0</v>
      </c>
      <c r="H35" s="429">
        <f t="shared" si="2"/>
        <v>0</v>
      </c>
      <c r="I35" s="35"/>
      <c r="J35" s="35"/>
      <c r="K35" s="35"/>
    </row>
    <row r="36" spans="1:11" s="16" customFormat="1" ht="15" customHeight="1" x14ac:dyDescent="0.35">
      <c r="A36" s="425" t="s">
        <v>248</v>
      </c>
      <c r="B36" s="534">
        <f t="shared" si="1"/>
        <v>0</v>
      </c>
      <c r="C36" s="426"/>
      <c r="D36" s="427">
        <f>IF(ISNUMBER(D21+D31),D21+D31,0)</f>
        <v>0</v>
      </c>
      <c r="E36" s="428">
        <f t="shared" si="2"/>
        <v>0</v>
      </c>
      <c r="F36" s="428">
        <f t="shared" si="2"/>
        <v>0</v>
      </c>
      <c r="G36" s="428">
        <f t="shared" si="2"/>
        <v>0</v>
      </c>
      <c r="H36" s="429">
        <f t="shared" si="2"/>
        <v>0</v>
      </c>
      <c r="I36" s="35"/>
      <c r="J36" s="35"/>
      <c r="K36" s="35"/>
    </row>
    <row r="37" spans="1:11" s="16" customFormat="1" ht="15" customHeight="1" x14ac:dyDescent="0.35">
      <c r="A37" s="430" t="s">
        <v>437</v>
      </c>
      <c r="B37" s="535">
        <f t="shared" si="1"/>
        <v>125236</v>
      </c>
      <c r="C37" s="431"/>
      <c r="D37" s="432">
        <f>IF(ISNUMBER(D22+D32),D22+D32,0)</f>
        <v>31299</v>
      </c>
      <c r="E37" s="433">
        <f>IF(ISNUMBER(E22+E32),E22+E32,0)</f>
        <v>24421</v>
      </c>
      <c r="F37" s="433">
        <f>IF(ISNUMBER(F22+F32),F22+F32,0)</f>
        <v>7415</v>
      </c>
      <c r="G37" s="433">
        <f>IF(ISNUMBER(G22+G32),G22+G32,0)</f>
        <v>35491</v>
      </c>
      <c r="H37" s="434">
        <f>IF(ISNUMBER(H22+H32),H22+H32,0)</f>
        <v>26610</v>
      </c>
      <c r="I37" s="35"/>
      <c r="J37" s="35"/>
      <c r="K37" s="35"/>
    </row>
    <row r="38" spans="1:11" s="16" customFormat="1" ht="15" customHeight="1" x14ac:dyDescent="0.35">
      <c r="A38" s="452" t="s">
        <v>178</v>
      </c>
      <c r="B38" s="530">
        <f t="shared" si="1"/>
        <v>16814840.166142859</v>
      </c>
      <c r="C38" s="453"/>
      <c r="D38" s="417">
        <f>IF(ISNUMBER(D$23-D34-D35-D36-D37)=TRUE,D$23-D34-D35-D36-D37,"n.a.")</f>
        <v>3372661.1025035847</v>
      </c>
      <c r="E38" s="418">
        <f>IF(ISNUMBER(E$23-E34-E35-E36-E37)=TRUE,E$23-E34-E35-E36-E37,"n.a.")</f>
        <v>3507511.0285161342</v>
      </c>
      <c r="F38" s="418">
        <f>IF(ISNUMBER(F$23-F34-F35-F36-F37)=TRUE,F$23-F34-F35-F36-F37,"n.a.")</f>
        <v>1546243.1460407262</v>
      </c>
      <c r="G38" s="418">
        <f>IF(ISNUMBER(G$23-G34-G35-G36-G37)=TRUE,G$23-G34-G35-G36-G37,"n.a.")</f>
        <v>3413584.3486529989</v>
      </c>
      <c r="H38" s="419">
        <f>IF(ISNUMBER(H$23-H34-H35-H36-H37)=TRUE,H$23-H34-H35-H36-H37,"n.a.")</f>
        <v>4974840.5404294115</v>
      </c>
      <c r="I38" s="35"/>
      <c r="J38" s="35"/>
      <c r="K38" s="35"/>
    </row>
    <row r="39" spans="1:11" s="16" customFormat="1" ht="15" customHeight="1" x14ac:dyDescent="0.35">
      <c r="A39" s="454" t="s">
        <v>179</v>
      </c>
      <c r="B39" s="532">
        <f t="shared" si="1"/>
        <v>0</v>
      </c>
      <c r="C39" s="441"/>
      <c r="D39" s="455">
        <f>IF(ISNUMBER(D38)=FALSE,"n.a",IF(D38&lt;0,1,0))</f>
        <v>0</v>
      </c>
      <c r="E39" s="456">
        <f>IF(ISNUMBER(E38)=FALSE,"n.a",IF(E38&lt;0,1,0))</f>
        <v>0</v>
      </c>
      <c r="F39" s="456">
        <f>IF(ISNUMBER(F38)=FALSE,"n.a",IF(F38&lt;0,1,0))</f>
        <v>0</v>
      </c>
      <c r="G39" s="456">
        <f>IF(ISNUMBER(G38)=FALSE,"n.a",IF(G38&lt;0,1,0))</f>
        <v>0</v>
      </c>
      <c r="H39" s="457">
        <f>IF(ISNUMBER(H38)=FALSE,"n.a",IF(H38&lt;0,1,0))</f>
        <v>0</v>
      </c>
      <c r="I39" s="35"/>
      <c r="J39" s="35"/>
      <c r="K39" s="35"/>
    </row>
    <row r="40" spans="1:11" s="16" customFormat="1" ht="15" customHeight="1" x14ac:dyDescent="0.35">
      <c r="A40" s="445"/>
      <c r="B40" s="411"/>
      <c r="C40" s="412"/>
      <c r="D40" s="446"/>
      <c r="E40" s="447"/>
      <c r="F40" s="447"/>
      <c r="G40" s="447"/>
      <c r="H40" s="447"/>
      <c r="I40" s="35"/>
      <c r="J40" s="35"/>
      <c r="K40" s="35"/>
    </row>
    <row r="41" spans="1:11" s="16" customFormat="1" ht="15" customHeight="1" x14ac:dyDescent="0.35">
      <c r="A41" s="398" t="s">
        <v>163</v>
      </c>
      <c r="B41" s="376" t="s">
        <v>307</v>
      </c>
      <c r="C41" s="412"/>
      <c r="D41" s="249" t="str">
        <f>D$8</f>
        <v>المؤسسة رقم 1</v>
      </c>
      <c r="E41" s="249" t="str">
        <f>E$8</f>
        <v>المؤسسة رقم 2</v>
      </c>
      <c r="F41" s="249" t="str">
        <f>F$8</f>
        <v>المؤسسة رقم 3</v>
      </c>
      <c r="G41" s="249" t="str">
        <f>G$8</f>
        <v>المؤسسة رقم 4</v>
      </c>
      <c r="H41" s="249" t="str">
        <f>H$8</f>
        <v>المؤسسة رقم 5</v>
      </c>
      <c r="I41" s="35"/>
      <c r="J41" s="35"/>
      <c r="K41" s="35"/>
    </row>
    <row r="42" spans="1:11" s="13" customFormat="1" ht="15" customHeight="1" x14ac:dyDescent="0.35">
      <c r="A42" s="416" t="s">
        <v>210</v>
      </c>
      <c r="B42" s="531">
        <f t="shared" ref="B42:B53" si="3">SUM(D42:H42)</f>
        <v>2474006.190927905</v>
      </c>
      <c r="C42" s="402"/>
      <c r="D42" s="417">
        <f>SUM(D43:D46)</f>
        <v>420455.54948612524</v>
      </c>
      <c r="E42" s="418">
        <f>SUM(E43:E46)</f>
        <v>541737.53870560613</v>
      </c>
      <c r="F42" s="418">
        <f>SUM(F43:F46)</f>
        <v>643538.35269829712</v>
      </c>
      <c r="G42" s="418">
        <f>SUM(G43:G46)</f>
        <v>489532.4532882655</v>
      </c>
      <c r="H42" s="419">
        <f>SUM(H43:H46)</f>
        <v>378742.29674961086</v>
      </c>
      <c r="I42" s="33"/>
      <c r="J42" s="33"/>
      <c r="K42" s="33"/>
    </row>
    <row r="43" spans="1:11" s="16" customFormat="1" ht="15" customHeight="1" x14ac:dyDescent="0.35">
      <c r="A43" s="420" t="s">
        <v>211</v>
      </c>
      <c r="B43" s="533">
        <f t="shared" si="3"/>
        <v>2414192.190927905</v>
      </c>
      <c r="C43" s="458"/>
      <c r="D43" s="422">
        <f>+'5-Calculation'!C31</f>
        <v>405506.54948612524</v>
      </c>
      <c r="E43" s="423">
        <f>+'5-Calculation'!D31</f>
        <v>530073.53870560613</v>
      </c>
      <c r="F43" s="423">
        <f>+'5-Calculation'!E31</f>
        <v>639997.35269829712</v>
      </c>
      <c r="G43" s="423">
        <f>+'5-Calculation'!F31</f>
        <v>472581.4532882655</v>
      </c>
      <c r="H43" s="424">
        <f>+'5-Calculation'!G31</f>
        <v>366033.29674961086</v>
      </c>
      <c r="I43" s="35"/>
      <c r="J43" s="35"/>
      <c r="K43" s="35"/>
    </row>
    <row r="44" spans="1:11" s="16" customFormat="1" ht="15" customHeight="1" x14ac:dyDescent="0.35">
      <c r="A44" s="425" t="s">
        <v>225</v>
      </c>
      <c r="B44" s="267">
        <f t="shared" si="3"/>
        <v>0</v>
      </c>
      <c r="C44" s="459"/>
      <c r="D44" s="427">
        <f>+'5-Calculation'!C32</f>
        <v>0</v>
      </c>
      <c r="E44" s="428">
        <f>+'5-Calculation'!D32</f>
        <v>0</v>
      </c>
      <c r="F44" s="428">
        <f>+'5-Calculation'!E32</f>
        <v>0</v>
      </c>
      <c r="G44" s="428">
        <f>+'5-Calculation'!F32</f>
        <v>0</v>
      </c>
      <c r="H44" s="429">
        <f>+'5-Calculation'!G32</f>
        <v>0</v>
      </c>
      <c r="I44" s="35"/>
      <c r="J44" s="35"/>
      <c r="K44" s="35"/>
    </row>
    <row r="45" spans="1:11" s="16" customFormat="1" ht="15" customHeight="1" x14ac:dyDescent="0.35">
      <c r="A45" s="425" t="s">
        <v>215</v>
      </c>
      <c r="B45" s="267">
        <f t="shared" si="3"/>
        <v>0</v>
      </c>
      <c r="C45" s="459"/>
      <c r="D45" s="427" t="s">
        <v>171</v>
      </c>
      <c r="E45" s="428" t="s">
        <v>171</v>
      </c>
      <c r="F45" s="428" t="s">
        <v>171</v>
      </c>
      <c r="G45" s="428" t="s">
        <v>171</v>
      </c>
      <c r="H45" s="429" t="s">
        <v>171</v>
      </c>
      <c r="I45" s="35"/>
      <c r="J45" s="35"/>
      <c r="K45" s="35"/>
    </row>
    <row r="46" spans="1:11" s="16" customFormat="1" ht="15" customHeight="1" x14ac:dyDescent="0.35">
      <c r="A46" s="450" t="str">
        <f>+A22</f>
        <v>تدفقات الحسابات الاستثمارية المقيدة القائمة على المشاركة في الأرباح الصادرة</v>
      </c>
      <c r="B46" s="534">
        <f>SUM(D46:H46)</f>
        <v>59814</v>
      </c>
      <c r="C46" s="451"/>
      <c r="D46" s="432">
        <f>+'5-Calculation'!C37</f>
        <v>14949</v>
      </c>
      <c r="E46" s="433">
        <f>+'5-Calculation'!D37</f>
        <v>11664</v>
      </c>
      <c r="F46" s="433">
        <f>+'5-Calculation'!E37</f>
        <v>3541</v>
      </c>
      <c r="G46" s="433">
        <f>+'5-Calculation'!F37</f>
        <v>16951</v>
      </c>
      <c r="H46" s="434">
        <f>+'5-Calculation'!G37</f>
        <v>12709</v>
      </c>
      <c r="I46" s="35"/>
      <c r="J46" s="35"/>
      <c r="K46" s="35"/>
    </row>
    <row r="47" spans="1:11" s="16" customFormat="1" ht="15" customHeight="1" x14ac:dyDescent="0.35">
      <c r="A47" s="416" t="s">
        <v>212</v>
      </c>
      <c r="B47" s="528">
        <f t="shared" si="3"/>
        <v>7944181.5247850493</v>
      </c>
      <c r="C47" s="451"/>
      <c r="D47" s="417">
        <f>IF(ISNUMBER(SUM(D48:D51)),SUM(D48:D51),"n.a.")</f>
        <v>1349532.24698254</v>
      </c>
      <c r="E47" s="418">
        <f>IF(ISNUMBER(SUM(E48:E51)),SUM(E48:E51),"n.a.")</f>
        <v>1739723.3101894725</v>
      </c>
      <c r="F47" s="418">
        <f>IF(ISNUMBER(SUM(F48:F51)),SUM(F48:F51),"n.a.")</f>
        <v>2067885.7066575708</v>
      </c>
      <c r="G47" s="418">
        <f>IF(ISNUMBER(SUM(G48:G51)),SUM(G48:G51),"n.a.")</f>
        <v>1571302.704635266</v>
      </c>
      <c r="H47" s="419">
        <f>IF(ISNUMBER(SUM(H48:H51)),SUM(H48:H51),"n.a.")</f>
        <v>1215737.5563202002</v>
      </c>
      <c r="I47" s="35"/>
      <c r="J47" s="35"/>
      <c r="K47" s="35"/>
    </row>
    <row r="48" spans="1:11" s="16" customFormat="1" ht="15" customHeight="1" x14ac:dyDescent="0.35">
      <c r="A48" s="420" t="s">
        <v>184</v>
      </c>
      <c r="B48" s="533">
        <f t="shared" si="3"/>
        <v>7759131.5247850493</v>
      </c>
      <c r="C48" s="421"/>
      <c r="D48" s="422">
        <f t="shared" ref="D48:H50" si="4">IF(ISNUMBER(D34+D43),D34+D43,0)</f>
        <v>1303284.24698254</v>
      </c>
      <c r="E48" s="423">
        <f t="shared" si="4"/>
        <v>1703638.3101894725</v>
      </c>
      <c r="F48" s="423">
        <f t="shared" si="4"/>
        <v>2056929.7066575708</v>
      </c>
      <c r="G48" s="423">
        <f t="shared" si="4"/>
        <v>1518860.704635266</v>
      </c>
      <c r="H48" s="424">
        <f t="shared" si="4"/>
        <v>1176418.5563202002</v>
      </c>
      <c r="I48" s="35"/>
      <c r="J48" s="35"/>
      <c r="K48" s="35"/>
    </row>
    <row r="49" spans="1:11" s="16" customFormat="1" ht="15" customHeight="1" x14ac:dyDescent="0.35">
      <c r="A49" s="425" t="s">
        <v>226</v>
      </c>
      <c r="B49" s="534">
        <f t="shared" si="3"/>
        <v>0</v>
      </c>
      <c r="C49" s="426"/>
      <c r="D49" s="427">
        <f t="shared" si="4"/>
        <v>0</v>
      </c>
      <c r="E49" s="428">
        <f t="shared" si="4"/>
        <v>0</v>
      </c>
      <c r="F49" s="428">
        <f t="shared" si="4"/>
        <v>0</v>
      </c>
      <c r="G49" s="428">
        <f t="shared" si="4"/>
        <v>0</v>
      </c>
      <c r="H49" s="429">
        <f t="shared" si="4"/>
        <v>0</v>
      </c>
      <c r="I49" s="35"/>
      <c r="J49" s="35"/>
      <c r="K49" s="35"/>
    </row>
    <row r="50" spans="1:11" s="16" customFormat="1" ht="15" customHeight="1" x14ac:dyDescent="0.35">
      <c r="A50" s="425" t="s">
        <v>248</v>
      </c>
      <c r="B50" s="534">
        <f t="shared" si="3"/>
        <v>0</v>
      </c>
      <c r="C50" s="426"/>
      <c r="D50" s="427">
        <f t="shared" si="4"/>
        <v>0</v>
      </c>
      <c r="E50" s="428">
        <f t="shared" si="4"/>
        <v>0</v>
      </c>
      <c r="F50" s="428">
        <f t="shared" si="4"/>
        <v>0</v>
      </c>
      <c r="G50" s="428">
        <f t="shared" si="4"/>
        <v>0</v>
      </c>
      <c r="H50" s="429">
        <f t="shared" si="4"/>
        <v>0</v>
      </c>
      <c r="I50" s="35"/>
      <c r="J50" s="35"/>
      <c r="K50" s="35"/>
    </row>
    <row r="51" spans="1:11" s="16" customFormat="1" ht="15" customHeight="1" x14ac:dyDescent="0.35">
      <c r="A51" s="430" t="s">
        <v>437</v>
      </c>
      <c r="B51" s="535">
        <f>SUM(D51:H51)</f>
        <v>185050</v>
      </c>
      <c r="C51" s="431"/>
      <c r="D51" s="432">
        <f>IF(ISNUMBER(D37+D46),D37+D46,0)</f>
        <v>46248</v>
      </c>
      <c r="E51" s="433">
        <f>IF(ISNUMBER(E37+E46),E37+E46,0)</f>
        <v>36085</v>
      </c>
      <c r="F51" s="433">
        <f>IF(ISNUMBER(F37+F46),F37+F46,0)</f>
        <v>10956</v>
      </c>
      <c r="G51" s="433">
        <f>IF(ISNUMBER(G37+G46),G37+G46,0)</f>
        <v>52442</v>
      </c>
      <c r="H51" s="434">
        <f>IF(ISNUMBER(H37+H46),H37+H46,0)</f>
        <v>39319</v>
      </c>
      <c r="I51" s="35"/>
      <c r="J51" s="35"/>
      <c r="K51" s="35"/>
    </row>
    <row r="52" spans="1:11" s="16" customFormat="1" ht="15" customHeight="1" x14ac:dyDescent="0.35">
      <c r="A52" s="452" t="s">
        <v>178</v>
      </c>
      <c r="B52" s="530">
        <f t="shared" si="3"/>
        <v>14340833.975214953</v>
      </c>
      <c r="C52" s="460"/>
      <c r="D52" s="417">
        <f>IF(ISNUMBER(D$23-D48-D49-D50-D51)=TRUE,D$23-D48-D49-D50-D51,"n.a.")</f>
        <v>2952205.5530174598</v>
      </c>
      <c r="E52" s="418">
        <f>IF(ISNUMBER(E$23-E48-E49-E50-E51)=TRUE,E$23-E48-E49-E50-E51,"n.a.")</f>
        <v>2965773.4898105282</v>
      </c>
      <c r="F52" s="418">
        <f>IF(ISNUMBER(F$23-F48-F49-F50-F51)=TRUE,F$23-F48-F49-F50-F51,"n.a.")</f>
        <v>902704.79334242921</v>
      </c>
      <c r="G52" s="418">
        <f>IF(ISNUMBER(G$23-G48-G49-G50-G51)=TRUE,G$23-G48-G49-G50-G51,"n.a.")</f>
        <v>2924051.8953647334</v>
      </c>
      <c r="H52" s="419">
        <f>IF(ISNUMBER(H$23-H48-H49-H50-H51)=TRUE,H$23-H48-H49-H50-H51,"n.a.")</f>
        <v>4596098.243679801</v>
      </c>
      <c r="I52" s="35"/>
      <c r="J52" s="35"/>
      <c r="K52" s="35"/>
    </row>
    <row r="53" spans="1:11" s="16" customFormat="1" ht="15" customHeight="1" x14ac:dyDescent="0.35">
      <c r="A53" s="461" t="s">
        <v>179</v>
      </c>
      <c r="B53" s="532">
        <f t="shared" si="3"/>
        <v>0</v>
      </c>
      <c r="C53" s="462"/>
      <c r="D53" s="455">
        <f>IF(ISNUMBER(D52)=FALSE,"n.a",IF(D52&lt;0,1,0))</f>
        <v>0</v>
      </c>
      <c r="E53" s="455">
        <f>IF(ISNUMBER(E52)=FALSE,"n.a",IF(E52&lt;0,1,0))</f>
        <v>0</v>
      </c>
      <c r="F53" s="455">
        <f>IF(ISNUMBER(F52)=FALSE,"n.a",IF(F52&lt;0,1,0))</f>
        <v>0</v>
      </c>
      <c r="G53" s="455">
        <f>IF(ISNUMBER(G52)=FALSE,"n.a",IF(G52&lt;0,1,0))</f>
        <v>0</v>
      </c>
      <c r="H53" s="798">
        <f>IF(ISNUMBER(H52)=FALSE,"n.a",IF(H52&lt;0,1,0))</f>
        <v>0</v>
      </c>
      <c r="I53" s="35"/>
      <c r="J53" s="35"/>
      <c r="K53" s="35"/>
    </row>
    <row r="54" spans="1:11" s="16" customFormat="1" ht="15" customHeight="1" x14ac:dyDescent="0.35">
      <c r="A54" s="445"/>
      <c r="B54" s="411"/>
      <c r="C54" s="412"/>
      <c r="D54" s="446"/>
      <c r="E54" s="447"/>
      <c r="F54" s="447"/>
      <c r="G54" s="447"/>
      <c r="H54" s="447"/>
      <c r="I54" s="35"/>
      <c r="J54" s="35"/>
      <c r="K54" s="35"/>
    </row>
    <row r="55" spans="1:11" s="16" customFormat="1" ht="15" customHeight="1" x14ac:dyDescent="0.35">
      <c r="A55" s="398" t="s">
        <v>164</v>
      </c>
      <c r="B55" s="376" t="s">
        <v>307</v>
      </c>
      <c r="C55" s="412"/>
      <c r="D55" s="249" t="str">
        <f>D$8</f>
        <v>المؤسسة رقم 1</v>
      </c>
      <c r="E55" s="249" t="str">
        <f>E$8</f>
        <v>المؤسسة رقم 2</v>
      </c>
      <c r="F55" s="249" t="str">
        <f>F$8</f>
        <v>المؤسسة رقم 3</v>
      </c>
      <c r="G55" s="249" t="str">
        <f>G$8</f>
        <v>المؤسسة رقم 4</v>
      </c>
      <c r="H55" s="249" t="str">
        <f>H$8</f>
        <v>المؤسسة رقم 5</v>
      </c>
      <c r="I55" s="35"/>
      <c r="J55" s="35"/>
      <c r="K55" s="35"/>
    </row>
    <row r="56" spans="1:11" s="13" customFormat="1" ht="15" customHeight="1" x14ac:dyDescent="0.35">
      <c r="A56" s="416" t="s">
        <v>218</v>
      </c>
      <c r="B56" s="531">
        <f t="shared" ref="B56:B67" si="5">SUM(D56:H56)</f>
        <v>2259393.1439226693</v>
      </c>
      <c r="C56" s="402"/>
      <c r="D56" s="422">
        <f>SUM(D57:D59)</f>
        <v>379505.29422122985</v>
      </c>
      <c r="E56" s="423">
        <f>SUM(E57:E59)</f>
        <v>496084.99423815735</v>
      </c>
      <c r="F56" s="423">
        <f>SUM(F57:F59)</f>
        <v>598960.44575449184</v>
      </c>
      <c r="G56" s="423">
        <f>SUM(G57:G59)</f>
        <v>442279.32619321632</v>
      </c>
      <c r="H56" s="424">
        <f>SUM(H57:H59)</f>
        <v>342563.08351557411</v>
      </c>
      <c r="I56" s="33"/>
      <c r="J56" s="33"/>
      <c r="K56" s="33"/>
    </row>
    <row r="57" spans="1:11" s="16" customFormat="1" ht="15" customHeight="1" x14ac:dyDescent="0.35">
      <c r="A57" s="420" t="s">
        <v>217</v>
      </c>
      <c r="B57" s="528">
        <f t="shared" si="5"/>
        <v>2259393.1439226693</v>
      </c>
      <c r="C57" s="421"/>
      <c r="D57" s="427">
        <f>+'5-Calculation'!C41</f>
        <v>379505.29422122985</v>
      </c>
      <c r="E57" s="428">
        <f>+'5-Calculation'!D41</f>
        <v>496084.99423815735</v>
      </c>
      <c r="F57" s="428">
        <f>+'5-Calculation'!E41</f>
        <v>598960.44575449184</v>
      </c>
      <c r="G57" s="428">
        <f>+'5-Calculation'!F41</f>
        <v>442279.32619321632</v>
      </c>
      <c r="H57" s="429">
        <f>+'5-Calculation'!G41</f>
        <v>342563.08351557411</v>
      </c>
      <c r="I57" s="35"/>
      <c r="J57" s="35"/>
      <c r="K57" s="35"/>
    </row>
    <row r="58" spans="1:11" s="16" customFormat="1" ht="15" customHeight="1" x14ac:dyDescent="0.35">
      <c r="A58" s="425" t="s">
        <v>227</v>
      </c>
      <c r="B58" s="267">
        <f t="shared" si="5"/>
        <v>0</v>
      </c>
      <c r="C58" s="426"/>
      <c r="D58" s="427">
        <f>+'5-Calculation'!C42</f>
        <v>0</v>
      </c>
      <c r="E58" s="428">
        <f>+'5-Calculation'!D42</f>
        <v>0</v>
      </c>
      <c r="F58" s="428">
        <f>+'5-Calculation'!E42</f>
        <v>0</v>
      </c>
      <c r="G58" s="428">
        <f>+'5-Calculation'!F42</f>
        <v>0</v>
      </c>
      <c r="H58" s="429">
        <f>+'5-Calculation'!G42</f>
        <v>0</v>
      </c>
      <c r="I58" s="35"/>
      <c r="J58" s="35"/>
      <c r="K58" s="35"/>
    </row>
    <row r="59" spans="1:11" s="16" customFormat="1" ht="15" customHeight="1" x14ac:dyDescent="0.35">
      <c r="A59" s="425" t="s">
        <v>216</v>
      </c>
      <c r="B59" s="267">
        <f t="shared" si="5"/>
        <v>0</v>
      </c>
      <c r="C59" s="426"/>
      <c r="D59" s="427" t="s">
        <v>171</v>
      </c>
      <c r="E59" s="428" t="s">
        <v>171</v>
      </c>
      <c r="F59" s="428" t="s">
        <v>171</v>
      </c>
      <c r="G59" s="428" t="s">
        <v>171</v>
      </c>
      <c r="H59" s="429" t="s">
        <v>171</v>
      </c>
      <c r="I59" s="35"/>
      <c r="J59" s="35"/>
      <c r="K59" s="35"/>
    </row>
    <row r="60" spans="1:11" s="16" customFormat="1" ht="15" customHeight="1" x14ac:dyDescent="0.35">
      <c r="A60" s="450" t="str">
        <f>+A22</f>
        <v>تدفقات الحسابات الاستثمارية المقيدة القائمة على المشاركة في الأرباح الصادرة</v>
      </c>
      <c r="B60" s="267">
        <f>SUM(D60:H60)</f>
        <v>58020</v>
      </c>
      <c r="C60" s="431"/>
      <c r="D60" s="432">
        <f>+'5-Calculation'!C47</f>
        <v>14501</v>
      </c>
      <c r="E60" s="433">
        <f>+'5-Calculation'!D47</f>
        <v>11314</v>
      </c>
      <c r="F60" s="433">
        <f>+'5-Calculation'!E47</f>
        <v>3435</v>
      </c>
      <c r="G60" s="433">
        <f>+'5-Calculation'!F47</f>
        <v>16442</v>
      </c>
      <c r="H60" s="434">
        <f>+'5-Calculation'!G47</f>
        <v>12328</v>
      </c>
      <c r="I60" s="35"/>
      <c r="J60" s="35"/>
      <c r="K60" s="35"/>
    </row>
    <row r="61" spans="1:11" s="16" customFormat="1" ht="15" customHeight="1" x14ac:dyDescent="0.35">
      <c r="A61" s="416" t="s">
        <v>219</v>
      </c>
      <c r="B61" s="528">
        <f t="shared" si="5"/>
        <v>10018524.668707719</v>
      </c>
      <c r="C61" s="451"/>
      <c r="D61" s="417">
        <f>IF(ISNUMBER(SUM(D62:D64)),SUM(D62:D64),"n.a.")</f>
        <v>1682789.5412037699</v>
      </c>
      <c r="E61" s="418">
        <f>IF(ISNUMBER(SUM(E62:E64)),SUM(E62:E64),"n.a.")</f>
        <v>2199723.3044276298</v>
      </c>
      <c r="F61" s="418">
        <f>IF(ISNUMBER(SUM(F62:F64)),SUM(F62:F64),"n.a.")</f>
        <v>2655890.1524120625</v>
      </c>
      <c r="G61" s="418">
        <f>IF(ISNUMBER(SUM(G62:G64)),SUM(G62:G64),"n.a.")</f>
        <v>1961140.0308284822</v>
      </c>
      <c r="H61" s="419">
        <f>IF(ISNUMBER(SUM(H62:H64)),SUM(H62:H64),"n.a.")</f>
        <v>1518981.6398357744</v>
      </c>
      <c r="I61" s="35"/>
      <c r="J61" s="35"/>
      <c r="K61" s="35"/>
    </row>
    <row r="62" spans="1:11" s="16" customFormat="1" ht="15" customHeight="1" x14ac:dyDescent="0.35">
      <c r="A62" s="420" t="s">
        <v>184</v>
      </c>
      <c r="B62" s="533">
        <f t="shared" si="5"/>
        <v>10018524.668707719</v>
      </c>
      <c r="C62" s="421"/>
      <c r="D62" s="422">
        <f t="shared" ref="D62:H64" si="6">IF(ISNUMBER(D48+D57),D48+D57,0)</f>
        <v>1682789.5412037699</v>
      </c>
      <c r="E62" s="423">
        <f t="shared" si="6"/>
        <v>2199723.3044276298</v>
      </c>
      <c r="F62" s="423">
        <f t="shared" si="6"/>
        <v>2655890.1524120625</v>
      </c>
      <c r="G62" s="423">
        <f t="shared" si="6"/>
        <v>1961140.0308284822</v>
      </c>
      <c r="H62" s="424">
        <f t="shared" si="6"/>
        <v>1518981.6398357744</v>
      </c>
      <c r="I62" s="35"/>
      <c r="J62" s="35"/>
      <c r="K62" s="35"/>
    </row>
    <row r="63" spans="1:11" s="16" customFormat="1" ht="15" customHeight="1" x14ac:dyDescent="0.35">
      <c r="A63" s="425" t="s">
        <v>228</v>
      </c>
      <c r="B63" s="534">
        <f t="shared" si="5"/>
        <v>0</v>
      </c>
      <c r="C63" s="426"/>
      <c r="D63" s="427">
        <f t="shared" si="6"/>
        <v>0</v>
      </c>
      <c r="E63" s="428">
        <f t="shared" si="6"/>
        <v>0</v>
      </c>
      <c r="F63" s="428">
        <f t="shared" si="6"/>
        <v>0</v>
      </c>
      <c r="G63" s="428">
        <f t="shared" si="6"/>
        <v>0</v>
      </c>
      <c r="H63" s="429">
        <f t="shared" si="6"/>
        <v>0</v>
      </c>
      <c r="I63" s="35"/>
      <c r="J63" s="35"/>
      <c r="K63" s="35"/>
    </row>
    <row r="64" spans="1:11" s="16" customFormat="1" ht="15" customHeight="1" x14ac:dyDescent="0.35">
      <c r="A64" s="425" t="s">
        <v>248</v>
      </c>
      <c r="B64" s="534">
        <f t="shared" si="5"/>
        <v>0</v>
      </c>
      <c r="C64" s="426"/>
      <c r="D64" s="427">
        <f t="shared" si="6"/>
        <v>0</v>
      </c>
      <c r="E64" s="428">
        <f t="shared" si="6"/>
        <v>0</v>
      </c>
      <c r="F64" s="428">
        <f t="shared" si="6"/>
        <v>0</v>
      </c>
      <c r="G64" s="428">
        <f t="shared" si="6"/>
        <v>0</v>
      </c>
      <c r="H64" s="429">
        <f t="shared" si="6"/>
        <v>0</v>
      </c>
      <c r="I64" s="35"/>
      <c r="J64" s="35"/>
      <c r="K64" s="35"/>
    </row>
    <row r="65" spans="1:11" s="16" customFormat="1" ht="15" customHeight="1" x14ac:dyDescent="0.35">
      <c r="A65" s="430" t="str">
        <f>+A51</f>
        <v>التغيرات التراكمية في الحسابات الاستثمارية المقيدة القائمة على المشاركة في الأرباح</v>
      </c>
      <c r="B65" s="535">
        <f>SUM(D65:H65)</f>
        <v>243070</v>
      </c>
      <c r="C65" s="431"/>
      <c r="D65" s="427">
        <f>IF(ISNUMBER(D51+D60),D51+D60,0)</f>
        <v>60749</v>
      </c>
      <c r="E65" s="433">
        <f>IF(ISNUMBER(E51+E60),E51+E60,0)</f>
        <v>47399</v>
      </c>
      <c r="F65" s="433">
        <f>IF(ISNUMBER(F51+F60),F51+F60,0)</f>
        <v>14391</v>
      </c>
      <c r="G65" s="433">
        <f>IF(ISNUMBER(G51+G60),G51+G60,0)</f>
        <v>68884</v>
      </c>
      <c r="H65" s="434">
        <f>IF(ISNUMBER(H51+H60),H51+H60,0)</f>
        <v>51647</v>
      </c>
      <c r="I65" s="35"/>
      <c r="J65" s="35"/>
      <c r="K65" s="35"/>
    </row>
    <row r="66" spans="1:11" s="16" customFormat="1" ht="15" customHeight="1" x14ac:dyDescent="0.35">
      <c r="A66" s="452" t="s">
        <v>178</v>
      </c>
      <c r="B66" s="530">
        <f t="shared" si="5"/>
        <v>12023420.831292283</v>
      </c>
      <c r="C66" s="431"/>
      <c r="D66" s="417">
        <f>IF(ISNUMBER(D$23-D62-D63-D64-D65)=TRUE,D$23-D62-D63-D64-D65,"n.a.")</f>
        <v>2558199.25879623</v>
      </c>
      <c r="E66" s="418">
        <f>IF(ISNUMBER(E$23-E62-E63-E64-E65)=TRUE,E$23-E62-E63-E64-E65,"n.a.")</f>
        <v>2458374.4955723709</v>
      </c>
      <c r="F66" s="418">
        <f>IF(ISNUMBER(F$23-F62-F63-F64-F65)=TRUE,F$23-F62-F63-F64-F65,"n.a.")</f>
        <v>300309.34758793749</v>
      </c>
      <c r="G66" s="418">
        <f>IF(ISNUMBER(G$23-G62-G63-G64-G65)=TRUE,G$23-G62-G63-G64-G65,"n.a.")</f>
        <v>2465330.5691715172</v>
      </c>
      <c r="H66" s="419">
        <f>IF(ISNUMBER(H$23-H62-H63-H64-H65)=TRUE,H$23-H62-H63-H64-H65,"n.a.")</f>
        <v>4241207.1601642258</v>
      </c>
      <c r="I66" s="35"/>
      <c r="J66" s="35"/>
      <c r="K66" s="35"/>
    </row>
    <row r="67" spans="1:11" s="16" customFormat="1" ht="15" customHeight="1" x14ac:dyDescent="0.35">
      <c r="A67" s="461" t="s">
        <v>179</v>
      </c>
      <c r="B67" s="532">
        <f t="shared" si="5"/>
        <v>0</v>
      </c>
      <c r="C67" s="462"/>
      <c r="D67" s="455">
        <f>IF(ISNUMBER(D66)=FALSE,"n.a",IF(D66&lt;0,1,0))</f>
        <v>0</v>
      </c>
      <c r="E67" s="456">
        <f>IF(ISNUMBER(E66)=FALSE,"n.a",IF(E66&lt;0,1,0))</f>
        <v>0</v>
      </c>
      <c r="F67" s="456">
        <f>IF(ISNUMBER(F66)=FALSE,"n.a",IF(F66&lt;0,1,0))</f>
        <v>0</v>
      </c>
      <c r="G67" s="456">
        <f>IF(ISNUMBER(G66)=FALSE,"n.a",IF(G66&lt;0,1,0))</f>
        <v>0</v>
      </c>
      <c r="H67" s="457">
        <f>IF(ISNUMBER(H66)=FALSE,"n.a",IF(H66&lt;0,1,0))</f>
        <v>0</v>
      </c>
      <c r="I67" s="35"/>
      <c r="J67" s="35"/>
      <c r="K67" s="35"/>
    </row>
    <row r="68" spans="1:11" s="16" customFormat="1" ht="15" customHeight="1" x14ac:dyDescent="0.35">
      <c r="A68" s="445"/>
      <c r="B68" s="411"/>
      <c r="C68" s="412"/>
      <c r="D68" s="446"/>
      <c r="E68" s="447"/>
      <c r="F68" s="447"/>
      <c r="G68" s="447"/>
      <c r="H68" s="447"/>
      <c r="I68" s="35"/>
      <c r="J68" s="35"/>
      <c r="K68" s="35"/>
    </row>
    <row r="69" spans="1:11" s="16" customFormat="1" ht="15" customHeight="1" x14ac:dyDescent="0.35">
      <c r="A69" s="398" t="s">
        <v>165</v>
      </c>
      <c r="B69" s="376" t="s">
        <v>307</v>
      </c>
      <c r="C69" s="412"/>
      <c r="D69" s="249" t="str">
        <f>D$8</f>
        <v>المؤسسة رقم 1</v>
      </c>
      <c r="E69" s="249" t="str">
        <f>E$8</f>
        <v>المؤسسة رقم 2</v>
      </c>
      <c r="F69" s="249" t="str">
        <f>F$8</f>
        <v>المؤسسة رقم 3</v>
      </c>
      <c r="G69" s="249" t="str">
        <f>G$8</f>
        <v>المؤسسة رقم 4</v>
      </c>
      <c r="H69" s="249" t="str">
        <f>H$8</f>
        <v>المؤسسة رقم 5</v>
      </c>
      <c r="I69" s="35"/>
      <c r="J69" s="35"/>
      <c r="K69" s="35"/>
    </row>
    <row r="70" spans="1:11" s="13" customFormat="1" ht="15" customHeight="1" x14ac:dyDescent="0.35">
      <c r="A70" s="416" t="s">
        <v>220</v>
      </c>
      <c r="B70" s="531">
        <f t="shared" ref="B70:B82" si="7">SUM(D70:H70)</f>
        <v>2172540.1075938335</v>
      </c>
      <c r="C70" s="402"/>
      <c r="D70" s="417">
        <f>SUM(D71:D74)</f>
        <v>369529.72106448765</v>
      </c>
      <c r="E70" s="418">
        <f>SUM(E71:E74)</f>
        <v>475632.12388207181</v>
      </c>
      <c r="F70" s="418">
        <f>SUM(F71:F74)</f>
        <v>564348.4391915499</v>
      </c>
      <c r="G70" s="418">
        <f>SUM(G71:G74)</f>
        <v>430210.03254013654</v>
      </c>
      <c r="H70" s="419">
        <f>SUM(H71:H74)</f>
        <v>332819.79091558763</v>
      </c>
      <c r="I70" s="33"/>
      <c r="J70" s="33"/>
      <c r="K70" s="33"/>
    </row>
    <row r="71" spans="1:11" s="16" customFormat="1" ht="15" customHeight="1" x14ac:dyDescent="0.35">
      <c r="A71" s="448" t="s">
        <v>221</v>
      </c>
      <c r="B71" s="528">
        <f t="shared" si="7"/>
        <v>2116261.1075938335</v>
      </c>
      <c r="C71" s="421"/>
      <c r="D71" s="422">
        <f>+'5-Calculation'!C51</f>
        <v>355463.72106448765</v>
      </c>
      <c r="E71" s="423">
        <f>+'5-Calculation'!D51</f>
        <v>464658.12388207181</v>
      </c>
      <c r="F71" s="423">
        <f>+'5-Calculation'!E51</f>
        <v>561016.4391915499</v>
      </c>
      <c r="G71" s="423">
        <f>+'5-Calculation'!F51</f>
        <v>414261.03254013654</v>
      </c>
      <c r="H71" s="424">
        <f>+'5-Calculation'!G51</f>
        <v>320861.79091558763</v>
      </c>
      <c r="I71" s="35"/>
      <c r="J71" s="35"/>
      <c r="K71" s="35"/>
    </row>
    <row r="72" spans="1:11" s="16" customFormat="1" ht="15" customHeight="1" x14ac:dyDescent="0.35">
      <c r="A72" s="450" t="s">
        <v>229</v>
      </c>
      <c r="B72" s="267">
        <f t="shared" si="7"/>
        <v>0</v>
      </c>
      <c r="C72" s="426"/>
      <c r="D72" s="427">
        <f>+'5-Calculation'!C52</f>
        <v>0</v>
      </c>
      <c r="E72" s="428">
        <v>0</v>
      </c>
      <c r="F72" s="428">
        <v>0</v>
      </c>
      <c r="G72" s="428">
        <v>0</v>
      </c>
      <c r="H72" s="429">
        <v>0</v>
      </c>
      <c r="I72" s="35"/>
      <c r="J72" s="35"/>
      <c r="K72" s="35"/>
    </row>
    <row r="73" spans="1:11" s="16" customFormat="1" ht="15" customHeight="1" x14ac:dyDescent="0.35">
      <c r="A73" s="425" t="s">
        <v>222</v>
      </c>
      <c r="B73" s="267">
        <f t="shared" si="7"/>
        <v>0</v>
      </c>
      <c r="C73" s="426"/>
      <c r="D73" s="427" t="s">
        <v>171</v>
      </c>
      <c r="E73" s="428" t="s">
        <v>171</v>
      </c>
      <c r="F73" s="428" t="s">
        <v>171</v>
      </c>
      <c r="G73" s="428" t="s">
        <v>171</v>
      </c>
      <c r="H73" s="429" t="s">
        <v>171</v>
      </c>
      <c r="I73" s="35"/>
      <c r="J73" s="35"/>
      <c r="K73" s="35"/>
    </row>
    <row r="74" spans="1:11" s="16" customFormat="1" ht="15" customHeight="1" x14ac:dyDescent="0.35">
      <c r="A74" s="450" t="str">
        <f>+A22</f>
        <v>تدفقات الحسابات الاستثمارية المقيدة القائمة على المشاركة في الأرباح الصادرة</v>
      </c>
      <c r="B74" s="534">
        <f>SUM(D74:H74)</f>
        <v>56279</v>
      </c>
      <c r="C74" s="431"/>
      <c r="D74" s="432">
        <f>+'5-Calculation'!C57</f>
        <v>14066</v>
      </c>
      <c r="E74" s="433">
        <f>+'5-Calculation'!D57</f>
        <v>10974</v>
      </c>
      <c r="F74" s="433">
        <f>+'5-Calculation'!E57</f>
        <v>3332</v>
      </c>
      <c r="G74" s="433">
        <f>+'5-Calculation'!F57</f>
        <v>15949</v>
      </c>
      <c r="H74" s="434">
        <f>+'5-Calculation'!G57</f>
        <v>11958</v>
      </c>
      <c r="I74" s="35"/>
      <c r="J74" s="35"/>
      <c r="K74" s="35"/>
    </row>
    <row r="75" spans="1:11" s="16" customFormat="1" ht="15" customHeight="1" x14ac:dyDescent="0.35">
      <c r="A75" s="416" t="s">
        <v>223</v>
      </c>
      <c r="B75" s="528">
        <f t="shared" si="7"/>
        <v>12134785.776301553</v>
      </c>
      <c r="C75" s="451"/>
      <c r="D75" s="417">
        <f>IF(ISNUMBER(SUM(D76:D78)),SUM(D76:D78),"n.a.")</f>
        <v>2038253.2622682576</v>
      </c>
      <c r="E75" s="418">
        <f>IF(ISNUMBER(SUM(E76:E78)),SUM(E76:E78),"n.a.")</f>
        <v>2664381.4283097014</v>
      </c>
      <c r="F75" s="418">
        <f>IF(ISNUMBER(SUM(F76:F78)),SUM(F76:F78),"n.a.")</f>
        <v>3216906.5916036125</v>
      </c>
      <c r="G75" s="418">
        <f>IF(ISNUMBER(SUM(G76:G78)),SUM(G76:G78),"n.a.")</f>
        <v>2375401.063368619</v>
      </c>
      <c r="H75" s="419">
        <f>IF(ISNUMBER(SUM(H76:H78)),SUM(H76:H78),"n.a.")</f>
        <v>1839843.4307513621</v>
      </c>
      <c r="I75" s="35"/>
      <c r="J75" s="35"/>
      <c r="K75" s="35"/>
    </row>
    <row r="76" spans="1:11" s="16" customFormat="1" ht="15" customHeight="1" x14ac:dyDescent="0.35">
      <c r="A76" s="420" t="s">
        <v>184</v>
      </c>
      <c r="B76" s="533">
        <f t="shared" si="7"/>
        <v>12134785.776301553</v>
      </c>
      <c r="C76" s="421"/>
      <c r="D76" s="422">
        <f t="shared" ref="D76:H78" si="8">IF(ISNUMBER(D62+D71),D62+D71,0)</f>
        <v>2038253.2622682576</v>
      </c>
      <c r="E76" s="423">
        <f t="shared" si="8"/>
        <v>2664381.4283097014</v>
      </c>
      <c r="F76" s="423">
        <f t="shared" si="8"/>
        <v>3216906.5916036125</v>
      </c>
      <c r="G76" s="423">
        <f t="shared" si="8"/>
        <v>2375401.063368619</v>
      </c>
      <c r="H76" s="424">
        <f t="shared" si="8"/>
        <v>1839843.4307513621</v>
      </c>
      <c r="I76" s="35"/>
      <c r="J76" s="35"/>
      <c r="K76" s="35"/>
    </row>
    <row r="77" spans="1:11" s="16" customFormat="1" ht="15" customHeight="1" x14ac:dyDescent="0.35">
      <c r="A77" s="425" t="s">
        <v>228</v>
      </c>
      <c r="B77" s="534">
        <f t="shared" si="7"/>
        <v>0</v>
      </c>
      <c r="C77" s="426"/>
      <c r="D77" s="427">
        <f t="shared" si="8"/>
        <v>0</v>
      </c>
      <c r="E77" s="428">
        <f t="shared" si="8"/>
        <v>0</v>
      </c>
      <c r="F77" s="428">
        <f t="shared" si="8"/>
        <v>0</v>
      </c>
      <c r="G77" s="428">
        <f t="shared" si="8"/>
        <v>0</v>
      </c>
      <c r="H77" s="429">
        <f t="shared" si="8"/>
        <v>0</v>
      </c>
      <c r="I77" s="35"/>
      <c r="J77" s="35"/>
      <c r="K77" s="35"/>
    </row>
    <row r="78" spans="1:11" s="16" customFormat="1" ht="15" customHeight="1" x14ac:dyDescent="0.35">
      <c r="A78" s="425" t="s">
        <v>248</v>
      </c>
      <c r="B78" s="534">
        <f t="shared" si="7"/>
        <v>0</v>
      </c>
      <c r="C78" s="426"/>
      <c r="D78" s="427">
        <f t="shared" si="8"/>
        <v>0</v>
      </c>
      <c r="E78" s="428">
        <f t="shared" si="8"/>
        <v>0</v>
      </c>
      <c r="F78" s="428">
        <f t="shared" si="8"/>
        <v>0</v>
      </c>
      <c r="G78" s="428">
        <f t="shared" si="8"/>
        <v>0</v>
      </c>
      <c r="H78" s="429">
        <f t="shared" si="8"/>
        <v>0</v>
      </c>
      <c r="I78" s="35"/>
      <c r="J78" s="35"/>
      <c r="K78" s="35"/>
    </row>
    <row r="79" spans="1:11" s="16" customFormat="1" ht="15" customHeight="1" x14ac:dyDescent="0.35">
      <c r="A79" s="430" t="str">
        <f>+A51</f>
        <v>التغيرات التراكمية في الحسابات الاستثمارية المقيدة القائمة على المشاركة في الأرباح</v>
      </c>
      <c r="B79" s="535">
        <f>SUM(D79:H79)</f>
        <v>299349</v>
      </c>
      <c r="C79" s="431"/>
      <c r="D79" s="432">
        <f>IF(ISNUMBER(D65+D74),D65+D74,0)</f>
        <v>74815</v>
      </c>
      <c r="E79" s="433">
        <f>IF(ISNUMBER(E65+E74),E65+E74,0)</f>
        <v>58373</v>
      </c>
      <c r="F79" s="433">
        <f>IF(ISNUMBER(F65+F74),F65+F74,0)</f>
        <v>17723</v>
      </c>
      <c r="G79" s="433">
        <f>IF(ISNUMBER(G65+G74),G65+G74,0)</f>
        <v>84833</v>
      </c>
      <c r="H79" s="434">
        <f>IF(ISNUMBER(H65+H74),H65+H74,0)</f>
        <v>63605</v>
      </c>
      <c r="I79" s="35"/>
      <c r="J79" s="35"/>
      <c r="K79" s="35"/>
    </row>
    <row r="80" spans="1:11" s="16" customFormat="1" ht="15" customHeight="1" x14ac:dyDescent="0.35">
      <c r="A80" s="440" t="s">
        <v>178</v>
      </c>
      <c r="B80" s="530">
        <f t="shared" si="7"/>
        <v>9850880.7236984484</v>
      </c>
      <c r="C80" s="409"/>
      <c r="D80" s="417">
        <f>IF(ISNUMBER(D$23-D76-D77-D78-D79)=TRUE,D$23-D76-D77-D78-D79,"n.a.")</f>
        <v>2188669.5377317425</v>
      </c>
      <c r="E80" s="418">
        <f>IF(ISNUMBER(E$23-E76-E77-E78-E79)=TRUE,E$23-E76-E77-E78-E79,"n.a.")</f>
        <v>1982742.3716902994</v>
      </c>
      <c r="F80" s="418">
        <f>IF(ISNUMBER(F$23-F76-F77-F78-F79)=TRUE,F$23-F76-F77-F78-F79,"n.a.")</f>
        <v>-264039.09160361253</v>
      </c>
      <c r="G80" s="418">
        <f>IF(ISNUMBER(G$23-G76-G77-G78-G79)=TRUE,G$23-G76-G77-G78-G79,"n.a.")</f>
        <v>2035120.5366313807</v>
      </c>
      <c r="H80" s="419">
        <f>IF(ISNUMBER(H$23-H76-H77-H78-H79)=TRUE,H$23-H76-H77-H78-H79,"n.a.")</f>
        <v>3908387.3692486389</v>
      </c>
      <c r="I80" s="35"/>
      <c r="J80" s="35"/>
      <c r="K80" s="35"/>
    </row>
    <row r="81" spans="1:11" s="16" customFormat="1" ht="15" customHeight="1" x14ac:dyDescent="0.35">
      <c r="A81" s="461" t="s">
        <v>179</v>
      </c>
      <c r="B81" s="296">
        <f t="shared" si="7"/>
        <v>1</v>
      </c>
      <c r="C81" s="462"/>
      <c r="D81" s="455">
        <f>IF(ISNUMBER(D80)=FALSE,"n.a",IF(D80&lt;0,1,0))</f>
        <v>0</v>
      </c>
      <c r="E81" s="456">
        <f>IF(ISNUMBER(E80)=FALSE,"n.a",IF(E80&lt;0,1,0))</f>
        <v>0</v>
      </c>
      <c r="F81" s="456">
        <f>IF(ISNUMBER(F80)=FALSE,"n.a",IF(F80&lt;0,1,0))</f>
        <v>1</v>
      </c>
      <c r="G81" s="456">
        <f>IF(ISNUMBER(G80)=FALSE,"n.a",IF(G80&lt;0,1,0))</f>
        <v>0</v>
      </c>
      <c r="H81" s="457">
        <f>IF(ISNUMBER(H80)=FALSE,"n.a",IF(H80&lt;0,1,0))</f>
        <v>0</v>
      </c>
      <c r="I81" s="35"/>
      <c r="J81" s="35"/>
      <c r="K81" s="35"/>
    </row>
    <row r="82" spans="1:11" s="16" customFormat="1" ht="15" customHeight="1" x14ac:dyDescent="0.35">
      <c r="A82" s="461" t="s">
        <v>166</v>
      </c>
      <c r="B82" s="296">
        <f t="shared" si="7"/>
        <v>-264039.09160361253</v>
      </c>
      <c r="C82" s="412"/>
      <c r="D82" s="463">
        <f>IF(D81=1,D80,0)</f>
        <v>0</v>
      </c>
      <c r="E82" s="464">
        <f>IF(E81=1,E80,0)</f>
        <v>0</v>
      </c>
      <c r="F82" s="464">
        <f>IF(F81=1,F80,0)</f>
        <v>-264039.09160361253</v>
      </c>
      <c r="G82" s="464">
        <f>IF(G81=1,G80,0)</f>
        <v>0</v>
      </c>
      <c r="H82" s="465">
        <f>IF(H81=1,H80,0)</f>
        <v>0</v>
      </c>
      <c r="I82" s="35"/>
      <c r="J82" s="35"/>
      <c r="K82" s="35"/>
    </row>
    <row r="83" spans="1:11" s="16" customFormat="1" ht="15" customHeight="1" x14ac:dyDescent="0.35">
      <c r="A83" s="445"/>
      <c r="B83" s="411"/>
      <c r="C83" s="412"/>
      <c r="D83" s="466"/>
      <c r="E83" s="467"/>
      <c r="F83" s="467"/>
      <c r="G83" s="467"/>
      <c r="H83" s="467"/>
      <c r="I83" s="35"/>
      <c r="J83" s="35"/>
      <c r="K83" s="35"/>
    </row>
    <row r="84" spans="1:11" s="15" customFormat="1" ht="15" customHeight="1" x14ac:dyDescent="0.35">
      <c r="A84" s="391" t="s">
        <v>316</v>
      </c>
      <c r="B84" s="468"/>
      <c r="C84" s="469"/>
      <c r="D84" s="469"/>
      <c r="E84" s="469"/>
      <c r="F84" s="469"/>
      <c r="G84" s="469"/>
      <c r="H84" s="797"/>
      <c r="I84" s="36"/>
      <c r="J84" s="36"/>
      <c r="K84" s="36"/>
    </row>
    <row r="85" spans="1:11" s="16" customFormat="1" ht="15" customHeight="1" x14ac:dyDescent="0.35">
      <c r="A85" s="396"/>
      <c r="B85" s="396"/>
      <c r="C85" s="397"/>
      <c r="D85" s="190"/>
      <c r="E85" s="190"/>
      <c r="F85" s="190"/>
      <c r="G85" s="190"/>
      <c r="H85" s="190"/>
      <c r="I85" s="35"/>
      <c r="J85" s="35"/>
      <c r="K85" s="35"/>
    </row>
    <row r="86" spans="1:11" s="16" customFormat="1" ht="15" customHeight="1" x14ac:dyDescent="0.35">
      <c r="A86" s="470" t="s">
        <v>173</v>
      </c>
      <c r="B86" s="376" t="s">
        <v>307</v>
      </c>
      <c r="C86" s="400"/>
      <c r="D86" s="249" t="str">
        <f>D$8</f>
        <v>المؤسسة رقم 1</v>
      </c>
      <c r="E86" s="249" t="str">
        <f>E$8</f>
        <v>المؤسسة رقم 2</v>
      </c>
      <c r="F86" s="249" t="str">
        <f>F$8</f>
        <v>المؤسسة رقم 3</v>
      </c>
      <c r="G86" s="249" t="str">
        <f>G$8</f>
        <v>المؤسسة رقم 4</v>
      </c>
      <c r="H86" s="249" t="str">
        <f>H$8</f>
        <v>المؤسسة رقم 5</v>
      </c>
      <c r="I86" s="35"/>
      <c r="J86" s="35"/>
      <c r="K86" s="35"/>
    </row>
    <row r="87" spans="1:11" s="16" customFormat="1" ht="15" customHeight="1" x14ac:dyDescent="0.35">
      <c r="A87" s="416" t="s">
        <v>14</v>
      </c>
      <c r="B87" s="258">
        <f>SUM(D87:H87)</f>
        <v>51614202.708443768</v>
      </c>
      <c r="C87" s="471"/>
      <c r="D87" s="422">
        <f>D11</f>
        <v>8669524.0434581805</v>
      </c>
      <c r="E87" s="423">
        <f>E11</f>
        <v>11332702.996863559</v>
      </c>
      <c r="F87" s="423">
        <f>F11</f>
        <v>13682818.30219198</v>
      </c>
      <c r="G87" s="423">
        <f>G11</f>
        <v>10103551.414809421</v>
      </c>
      <c r="H87" s="424">
        <f>H11</f>
        <v>7825605.9511206308</v>
      </c>
      <c r="I87" s="35"/>
      <c r="J87" s="35"/>
      <c r="K87" s="35"/>
    </row>
    <row r="88" spans="1:11" s="16" customFormat="1" ht="15" customHeight="1" x14ac:dyDescent="0.35">
      <c r="A88" s="472" t="s">
        <v>317</v>
      </c>
      <c r="B88" s="267">
        <f>SUM(D88:H88)</f>
        <v>22285015.5</v>
      </c>
      <c r="C88" s="473"/>
      <c r="D88" s="427">
        <f>(SUMPRODUCT('2-Input - IIFS Liqudity'!I91:I103,'3-Assumptions'!$H$67:$H$79))</f>
        <v>4301737.8</v>
      </c>
      <c r="E88" s="428">
        <f>(SUMPRODUCT('2-Input - IIFS Liqudity'!J91:J103,'3-Assumptions'!$H$67:$H$79))</f>
        <v>4705496.8000000007</v>
      </c>
      <c r="F88" s="428">
        <f>(SUMPRODUCT('2-Input - IIFS Liqudity'!K91:K103,'3-Assumptions'!$H$67:$H$79))</f>
        <v>2970590.5</v>
      </c>
      <c r="G88" s="428">
        <f>(SUMPRODUCT('2-Input - IIFS Liqudity'!L91:L103,'3-Assumptions'!$H$67:$H$79))</f>
        <v>4495354.5999999996</v>
      </c>
      <c r="H88" s="429">
        <f>(SUMPRODUCT('2-Input - IIFS Liqudity'!M91:M103,'3-Assumptions'!$H$67:$H$79))</f>
        <v>5811835.8000000007</v>
      </c>
      <c r="I88" s="35"/>
      <c r="J88" s="35"/>
      <c r="K88" s="35"/>
    </row>
    <row r="89" spans="1:11" s="16" customFormat="1" ht="15" customHeight="1" x14ac:dyDescent="0.35">
      <c r="A89" s="440" t="s">
        <v>318</v>
      </c>
      <c r="B89" s="296">
        <f>SUM(D89:H89)</f>
        <v>59799118.873911291</v>
      </c>
      <c r="C89" s="474"/>
      <c r="D89" s="432">
        <f>'2-Input - IIFS Liqudity'!I15-D88</f>
        <v>12547590.840699401</v>
      </c>
      <c r="E89" s="433">
        <f>'2-Input - IIFS Liqudity'!J15-E88</f>
        <v>11840399.920588199</v>
      </c>
      <c r="F89" s="433">
        <f>'2-Input - IIFS Liqudity'!K15-F88</f>
        <v>12976711.5410292</v>
      </c>
      <c r="G89" s="433">
        <f>'2-Input - IIFS Liqudity'!L15-G88</f>
        <v>11951803.182196999</v>
      </c>
      <c r="H89" s="434">
        <f>'2-Input - IIFS Liqudity'!M15-H88</f>
        <v>10482613.389397498</v>
      </c>
      <c r="I89" s="35"/>
      <c r="J89" s="35"/>
      <c r="K89" s="35"/>
    </row>
    <row r="90" spans="1:11" s="16" customFormat="1" ht="15" customHeight="1" x14ac:dyDescent="0.35">
      <c r="A90" s="411"/>
      <c r="B90" s="411"/>
      <c r="C90" s="412"/>
      <c r="D90" s="466"/>
      <c r="E90" s="467"/>
      <c r="F90" s="467"/>
      <c r="G90" s="467"/>
      <c r="H90" s="467"/>
      <c r="I90" s="35"/>
      <c r="J90" s="35"/>
      <c r="K90" s="35"/>
    </row>
    <row r="91" spans="1:11" s="16" customFormat="1" ht="15" customHeight="1" x14ac:dyDescent="0.35">
      <c r="A91" s="475" t="s">
        <v>167</v>
      </c>
      <c r="B91" s="376" t="s">
        <v>307</v>
      </c>
      <c r="C91" s="412"/>
      <c r="D91" s="249" t="str">
        <f>D$8</f>
        <v>المؤسسة رقم 1</v>
      </c>
      <c r="E91" s="249" t="str">
        <f>E$8</f>
        <v>المؤسسة رقم 2</v>
      </c>
      <c r="F91" s="249" t="str">
        <f>F$8</f>
        <v>المؤسسة رقم 3</v>
      </c>
      <c r="G91" s="249" t="str">
        <f>G$8</f>
        <v>المؤسسة رقم 4</v>
      </c>
      <c r="H91" s="249" t="str">
        <f>H$8</f>
        <v>المؤسسة رقم 5</v>
      </c>
      <c r="I91" s="35"/>
      <c r="J91" s="35"/>
      <c r="K91" s="35"/>
    </row>
    <row r="92" spans="1:11" s="16" customFormat="1" ht="15" customHeight="1" x14ac:dyDescent="0.35">
      <c r="A92" s="416" t="s">
        <v>175</v>
      </c>
      <c r="B92" s="267">
        <f t="shared" ref="B92:B100" si="9">SUM(D92:H92)</f>
        <v>3772278.0483990158</v>
      </c>
      <c r="C92" s="390"/>
      <c r="D92" s="417">
        <f>SUM(D93:D96)</f>
        <v>648448.95797263237</v>
      </c>
      <c r="E92" s="418">
        <f>SUM(E93:E96)</f>
        <v>825241.75909734063</v>
      </c>
      <c r="F92" s="418">
        <f>SUM(F93:F96)</f>
        <v>994113.7230264314</v>
      </c>
      <c r="G92" s="418">
        <f>SUM(G93:G96)</f>
        <v>732268.96345494129</v>
      </c>
      <c r="H92" s="419">
        <f>SUM(H93:H96)</f>
        <v>572204.64484766999</v>
      </c>
      <c r="I92" s="35"/>
      <c r="J92" s="35"/>
      <c r="K92" s="35"/>
    </row>
    <row r="93" spans="1:11" s="16" customFormat="1" ht="15" customHeight="1" x14ac:dyDescent="0.35">
      <c r="A93" s="420" t="s">
        <v>176</v>
      </c>
      <c r="B93" s="533">
        <f t="shared" si="9"/>
        <v>3734400.0483990158</v>
      </c>
      <c r="C93" s="476"/>
      <c r="D93" s="422">
        <f>+'5-Calculation'!C65</f>
        <v>627258.95797263237</v>
      </c>
      <c r="E93" s="423">
        <f>+'5-Calculation'!D65</f>
        <v>819945.75909734063</v>
      </c>
      <c r="F93" s="423">
        <f>+'5-Calculation'!E65</f>
        <v>989981.7230264314</v>
      </c>
      <c r="G93" s="423">
        <f>+'5-Calculation'!F65</f>
        <v>731013.96345494129</v>
      </c>
      <c r="H93" s="424">
        <f>+'5-Calculation'!G65</f>
        <v>566199.64484766999</v>
      </c>
      <c r="I93" s="35"/>
      <c r="J93" s="35"/>
      <c r="K93" s="35"/>
    </row>
    <row r="94" spans="1:11" s="16" customFormat="1" ht="15" customHeight="1" x14ac:dyDescent="0.35">
      <c r="A94" s="425" t="s">
        <v>228</v>
      </c>
      <c r="B94" s="534">
        <f t="shared" si="9"/>
        <v>0</v>
      </c>
      <c r="C94" s="477"/>
      <c r="D94" s="427">
        <f>+'5-Calculation'!C66</f>
        <v>0</v>
      </c>
      <c r="E94" s="428">
        <f>+'5-Calculation'!D66</f>
        <v>0</v>
      </c>
      <c r="F94" s="428">
        <f>+'5-Calculation'!E66</f>
        <v>0</v>
      </c>
      <c r="G94" s="428">
        <f>+'5-Calculation'!F66</f>
        <v>0</v>
      </c>
      <c r="H94" s="429">
        <f>+'5-Calculation'!G66</f>
        <v>0</v>
      </c>
      <c r="I94" s="35"/>
      <c r="J94" s="35"/>
      <c r="K94" s="35"/>
    </row>
    <row r="95" spans="1:11" s="16" customFormat="1" ht="15" customHeight="1" x14ac:dyDescent="0.35">
      <c r="A95" s="425" t="s">
        <v>213</v>
      </c>
      <c r="B95" s="534">
        <f t="shared" si="9"/>
        <v>0</v>
      </c>
      <c r="C95" s="477"/>
      <c r="D95" s="427" t="s">
        <v>171</v>
      </c>
      <c r="E95" s="428" t="s">
        <v>171</v>
      </c>
      <c r="F95" s="428" t="s">
        <v>171</v>
      </c>
      <c r="G95" s="428" t="s">
        <v>171</v>
      </c>
      <c r="H95" s="429" t="s">
        <v>171</v>
      </c>
      <c r="I95" s="35"/>
      <c r="J95" s="35"/>
      <c r="K95" s="35"/>
    </row>
    <row r="96" spans="1:11" s="16" customFormat="1" ht="15" customHeight="1" x14ac:dyDescent="0.35">
      <c r="A96" s="430" t="s">
        <v>436</v>
      </c>
      <c r="B96" s="535"/>
      <c r="C96" s="478"/>
      <c r="D96" s="432">
        <f>+'5-Calculation'!B71</f>
        <v>21190</v>
      </c>
      <c r="E96" s="433">
        <f>+'5-Calculation'!C71</f>
        <v>5296</v>
      </c>
      <c r="F96" s="433">
        <f>+'5-Calculation'!D71</f>
        <v>4132</v>
      </c>
      <c r="G96" s="433">
        <f>+'5-Calculation'!E71</f>
        <v>1255</v>
      </c>
      <c r="H96" s="434">
        <f>+'5-Calculation'!F71</f>
        <v>6005</v>
      </c>
      <c r="I96" s="35"/>
      <c r="J96" s="35"/>
      <c r="K96" s="35"/>
    </row>
    <row r="97" spans="1:11" s="16" customFormat="1" ht="15" customHeight="1" x14ac:dyDescent="0.35">
      <c r="A97" s="435" t="s">
        <v>177</v>
      </c>
      <c r="B97" s="267">
        <f t="shared" si="9"/>
        <v>20860152</v>
      </c>
      <c r="C97" s="471"/>
      <c r="D97" s="417">
        <v>3726057</v>
      </c>
      <c r="E97" s="418">
        <v>4656903</v>
      </c>
      <c r="F97" s="418">
        <v>2732853</v>
      </c>
      <c r="G97" s="418">
        <v>4003229</v>
      </c>
      <c r="H97" s="419">
        <v>5741110</v>
      </c>
      <c r="I97" s="35"/>
      <c r="J97" s="35"/>
      <c r="K97" s="35"/>
    </row>
    <row r="98" spans="1:11" s="16" customFormat="1" ht="15" customHeight="1" x14ac:dyDescent="0.35">
      <c r="A98" s="440" t="s">
        <v>178</v>
      </c>
      <c r="B98" s="300">
        <f t="shared" si="9"/>
        <v>17087873.951600984</v>
      </c>
      <c r="C98" s="479"/>
      <c r="D98" s="417">
        <f>IF(ISNUMBER(D97-D92)=TRUE,D97-D92,"n.a.")</f>
        <v>3077608.0420273677</v>
      </c>
      <c r="E98" s="418">
        <f>IF(ISNUMBER(E97-E92)=TRUE,E97-E92,"n.a.")</f>
        <v>3831661.2409026595</v>
      </c>
      <c r="F98" s="418">
        <f>IF(ISNUMBER(F97-F92)=TRUE,F97-F92,"n.a.")</f>
        <v>1738739.2769735686</v>
      </c>
      <c r="G98" s="418">
        <f>IF(ISNUMBER(G97-G92)=TRUE,G97-G92,"n.a.")</f>
        <v>3270960.0365450587</v>
      </c>
      <c r="H98" s="419">
        <f>IF(ISNUMBER(H97-H92)=TRUE,H97-H92,"n.a.")</f>
        <v>5168905.3551523304</v>
      </c>
      <c r="I98" s="35"/>
      <c r="J98" s="35"/>
      <c r="K98" s="35"/>
    </row>
    <row r="99" spans="1:11" s="16" customFormat="1" ht="15" customHeight="1" x14ac:dyDescent="0.35">
      <c r="A99" s="454" t="s">
        <v>179</v>
      </c>
      <c r="B99" s="296">
        <f t="shared" si="9"/>
        <v>0</v>
      </c>
      <c r="C99" s="441"/>
      <c r="D99" s="455">
        <f>IF(ISNUMBER(D98)=FALSE,"n.a",IF(D98&lt;0,1,0))</f>
        <v>0</v>
      </c>
      <c r="E99" s="456">
        <f>IF(ISNUMBER(E98)=FALSE,"n.a",IF(E98&lt;0,1,0))</f>
        <v>0</v>
      </c>
      <c r="F99" s="456">
        <f>IF(ISNUMBER(F98)=FALSE,"n.a",IF(F98&lt;0,1,0))</f>
        <v>0</v>
      </c>
      <c r="G99" s="456">
        <f>IF(ISNUMBER(G98)=FALSE,"n.a",IF(G98&lt;0,1,0))</f>
        <v>0</v>
      </c>
      <c r="H99" s="457">
        <f>IF(ISNUMBER(H98)=FALSE,"n.a",IF(H98&lt;0,1,0))</f>
        <v>0</v>
      </c>
      <c r="I99" s="35"/>
      <c r="J99" s="35"/>
      <c r="K99" s="35"/>
    </row>
    <row r="100" spans="1:11" s="16" customFormat="1" ht="15" customHeight="1" x14ac:dyDescent="0.35">
      <c r="A100" s="461" t="s">
        <v>166</v>
      </c>
      <c r="B100" s="296">
        <f t="shared" si="9"/>
        <v>0</v>
      </c>
      <c r="C100" s="480"/>
      <c r="D100" s="463">
        <f>IF(D99=1,D98,0)</f>
        <v>0</v>
      </c>
      <c r="E100" s="464">
        <f>IF(E99=1,E98,0)</f>
        <v>0</v>
      </c>
      <c r="F100" s="464">
        <f>IF(F99=1,F98,0)</f>
        <v>0</v>
      </c>
      <c r="G100" s="464">
        <f>IF(G99=1,G98,0)</f>
        <v>0</v>
      </c>
      <c r="H100" s="465">
        <f>IF(H99=1,H98,0)</f>
        <v>0</v>
      </c>
      <c r="I100" s="35"/>
      <c r="J100" s="35"/>
      <c r="K100" s="35"/>
    </row>
    <row r="101" spans="1:11" s="16" customFormat="1" ht="15" customHeight="1" x14ac:dyDescent="0.35">
      <c r="A101" s="481"/>
      <c r="B101" s="482"/>
      <c r="C101" s="480"/>
      <c r="D101" s="285"/>
      <c r="E101" s="285"/>
      <c r="F101" s="285"/>
      <c r="G101" s="285"/>
      <c r="H101" s="285"/>
      <c r="I101" s="35"/>
      <c r="J101" s="35"/>
      <c r="K101" s="35"/>
    </row>
    <row r="102" spans="1:11" s="15" customFormat="1" ht="15" customHeight="1" x14ac:dyDescent="0.35">
      <c r="A102" s="659" t="s">
        <v>230</v>
      </c>
      <c r="B102" s="392"/>
      <c r="C102" s="393"/>
      <c r="D102" s="393"/>
      <c r="E102" s="393"/>
      <c r="F102" s="393"/>
      <c r="G102" s="393"/>
      <c r="H102" s="796"/>
      <c r="I102" s="36"/>
      <c r="J102" s="36"/>
      <c r="K102" s="36"/>
    </row>
    <row r="103" spans="1:11" s="16" customFormat="1" ht="15" customHeight="1" x14ac:dyDescent="0.35">
      <c r="A103" s="483"/>
      <c r="B103" s="376" t="s">
        <v>172</v>
      </c>
      <c r="C103" s="397"/>
      <c r="D103" s="249" t="str">
        <f>D$8</f>
        <v>المؤسسة رقم 1</v>
      </c>
      <c r="E103" s="249" t="str">
        <f>E$8</f>
        <v>المؤسسة رقم 2</v>
      </c>
      <c r="F103" s="249" t="str">
        <f>F$8</f>
        <v>المؤسسة رقم 3</v>
      </c>
      <c r="G103" s="249" t="str">
        <f>G$8</f>
        <v>المؤسسة رقم 4</v>
      </c>
      <c r="H103" s="249" t="str">
        <f>H$8</f>
        <v>المؤسسة رقم 5</v>
      </c>
      <c r="I103" s="35"/>
      <c r="J103" s="35"/>
      <c r="K103" s="35"/>
    </row>
    <row r="104" spans="1:11" ht="15" customHeight="1" x14ac:dyDescent="0.35">
      <c r="A104" s="660" t="s">
        <v>231</v>
      </c>
      <c r="B104" s="660"/>
      <c r="C104" s="390"/>
      <c r="D104" s="382"/>
      <c r="E104" s="382"/>
      <c r="F104" s="382"/>
      <c r="G104" s="382"/>
      <c r="H104" s="382"/>
    </row>
    <row r="105" spans="1:11" ht="15" customHeight="1" x14ac:dyDescent="0.35">
      <c r="A105" s="398" t="s">
        <v>51</v>
      </c>
      <c r="B105" s="300">
        <f>SUM(D105:H105)</f>
        <v>82084134.373911291</v>
      </c>
      <c r="C105" s="484"/>
      <c r="D105" s="417">
        <f>+'2-Input - IIFS Liqudity'!I15</f>
        <v>16849328.640699401</v>
      </c>
      <c r="E105" s="418">
        <f>+'2-Input - IIFS Liqudity'!J15</f>
        <v>16545896.7205882</v>
      </c>
      <c r="F105" s="418">
        <f>+'2-Input - IIFS Liqudity'!K15</f>
        <v>15947302.0410292</v>
      </c>
      <c r="G105" s="418">
        <f>+'2-Input - IIFS Liqudity'!L15</f>
        <v>16447157.782196999</v>
      </c>
      <c r="H105" s="419">
        <f>+'2-Input - IIFS Liqudity'!M15</f>
        <v>16294449.189397499</v>
      </c>
    </row>
    <row r="106" spans="1:11" ht="15" customHeight="1" x14ac:dyDescent="0.35">
      <c r="A106" s="398" t="s">
        <v>232</v>
      </c>
      <c r="B106" s="520"/>
      <c r="C106" s="485"/>
      <c r="D106" s="520"/>
      <c r="E106" s="520"/>
      <c r="F106" s="520"/>
      <c r="G106" s="520"/>
      <c r="H106" s="520"/>
    </row>
    <row r="107" spans="1:11" s="17" customFormat="1" ht="15" x14ac:dyDescent="0.35">
      <c r="A107" s="486" t="s">
        <v>233</v>
      </c>
      <c r="B107" s="536">
        <f>SUM(D107:H107)</f>
        <v>25182748</v>
      </c>
      <c r="C107" s="402"/>
      <c r="D107" s="570">
        <f>+'5-Calculation'!C133</f>
        <v>3489676</v>
      </c>
      <c r="E107" s="571">
        <f>+'5-Calculation'!D133</f>
        <v>5942767</v>
      </c>
      <c r="F107" s="571">
        <f>+'5-Calculation'!E133</f>
        <v>4481752</v>
      </c>
      <c r="G107" s="571">
        <f>+'5-Calculation'!F133</f>
        <v>5080913</v>
      </c>
      <c r="H107" s="572">
        <f>+'5-Calculation'!G133</f>
        <v>6187640</v>
      </c>
      <c r="I107" s="31"/>
      <c r="J107" s="31"/>
      <c r="K107" s="31"/>
    </row>
    <row r="108" spans="1:11" s="17" customFormat="1" ht="15" x14ac:dyDescent="0.35">
      <c r="A108" s="487" t="s">
        <v>234</v>
      </c>
      <c r="B108" s="537">
        <f>SUM(D108:H108)</f>
        <v>269920.3</v>
      </c>
      <c r="C108" s="405"/>
      <c r="D108" s="573">
        <f>+'5-Calculation'!C139</f>
        <v>233750.25</v>
      </c>
      <c r="E108" s="574">
        <f>+'5-Calculation'!D139</f>
        <v>0</v>
      </c>
      <c r="F108" s="574">
        <f>+'5-Calculation'!E139</f>
        <v>36170.049999999996</v>
      </c>
      <c r="G108" s="574">
        <f>+'5-Calculation'!F139</f>
        <v>0</v>
      </c>
      <c r="H108" s="575">
        <f>+'5-Calculation'!G139</f>
        <v>0</v>
      </c>
      <c r="I108" s="37"/>
      <c r="J108" s="31"/>
      <c r="K108" s="31"/>
    </row>
    <row r="109" spans="1:11" s="17" customFormat="1" ht="15" x14ac:dyDescent="0.35">
      <c r="A109" s="487" t="s">
        <v>97</v>
      </c>
      <c r="B109" s="538">
        <v>0</v>
      </c>
      <c r="C109" s="405"/>
      <c r="D109" s="576">
        <f>+'2-Input - IIFS Liqudity'!I112</f>
        <v>0</v>
      </c>
      <c r="E109" s="577">
        <f>+'2-Input - IIFS Liqudity'!J112</f>
        <v>0</v>
      </c>
      <c r="F109" s="577">
        <f>+'2-Input - IIFS Liqudity'!K112</f>
        <v>0</v>
      </c>
      <c r="G109" s="577">
        <f>+'2-Input - IIFS Liqudity'!L112</f>
        <v>0</v>
      </c>
      <c r="H109" s="578">
        <f>+'2-Input - IIFS Liqudity'!M112</f>
        <v>0</v>
      </c>
      <c r="I109" s="37"/>
      <c r="J109" s="31"/>
      <c r="K109" s="31"/>
    </row>
    <row r="110" spans="1:11" s="17" customFormat="1" ht="15" customHeight="1" x14ac:dyDescent="0.35">
      <c r="A110" s="488" t="s">
        <v>168</v>
      </c>
      <c r="B110" s="300">
        <f>SUM(D110:H110)</f>
        <v>25452668.300000001</v>
      </c>
      <c r="C110" s="489"/>
      <c r="D110" s="838">
        <f>+IF((0.4*(D108+D107)&gt;D108),D108+D107+D109,D107*1.4+D109)</f>
        <v>3723426.25</v>
      </c>
      <c r="E110" s="839">
        <f>+IF((0.4*(E108+E107)&gt;E108),E108+E107+E109,E107*1.4+E109)</f>
        <v>5942767</v>
      </c>
      <c r="F110" s="839">
        <f>+IF((0.4*(F108+F107)&gt;F108),F108+F107+F109,F107*1.4+F109)</f>
        <v>4517922.05</v>
      </c>
      <c r="G110" s="839">
        <f>+IF((0.4*(G108+G107)&gt;G108),G108+G107+G109,G107*1.4+G109)</f>
        <v>5080913</v>
      </c>
      <c r="H110" s="840">
        <f>+IF((0.4*(H108+H107)&gt;H108),H108+H107+H109,H107*1.4+H109)</f>
        <v>6187640</v>
      </c>
      <c r="I110" s="31"/>
      <c r="J110" s="31"/>
      <c r="K110" s="31"/>
    </row>
    <row r="111" spans="1:11" s="17" customFormat="1" ht="15" customHeight="1" x14ac:dyDescent="0.35">
      <c r="A111" s="488" t="s">
        <v>235</v>
      </c>
      <c r="B111" s="194">
        <f>B110/B105</f>
        <v>0.31008024259666911</v>
      </c>
      <c r="C111" s="490"/>
      <c r="D111" s="579">
        <f>IF(ISNUMBER(D110/D105),D110/D105,"n.a")</f>
        <v>0.22098365634617023</v>
      </c>
      <c r="E111" s="580">
        <f>IF(ISNUMBER(E110/E105),E110/E105,"n.a")</f>
        <v>0.35916862653961601</v>
      </c>
      <c r="F111" s="580">
        <f>IF(ISNUMBER(F110/F105),F110/F105,"n.a")</f>
        <v>0.28330322197298924</v>
      </c>
      <c r="G111" s="580">
        <f>IF(ISNUMBER(G110/G105),G110/G105,"n.a")</f>
        <v>0.30892346673415905</v>
      </c>
      <c r="H111" s="581">
        <f>IF(ISNUMBER(H110/H105),H110/H105,"n.a")</f>
        <v>0.3797391325155185</v>
      </c>
      <c r="I111" s="31"/>
      <c r="J111" s="31"/>
      <c r="K111" s="31"/>
    </row>
    <row r="112" spans="1:11" ht="15" customHeight="1" x14ac:dyDescent="0.35">
      <c r="A112" s="389"/>
      <c r="B112" s="389"/>
      <c r="C112" s="390"/>
      <c r="D112" s="382"/>
      <c r="E112" s="382"/>
      <c r="F112" s="382"/>
      <c r="G112" s="382"/>
      <c r="H112" s="382"/>
    </row>
    <row r="113" spans="1:11" ht="15" customHeight="1" x14ac:dyDescent="0.35">
      <c r="A113" s="398" t="s">
        <v>236</v>
      </c>
      <c r="B113" s="491" t="s">
        <v>172</v>
      </c>
      <c r="C113" s="390"/>
      <c r="D113" s="492" t="str">
        <f>D$8</f>
        <v>المؤسسة رقم 1</v>
      </c>
      <c r="E113" s="492" t="str">
        <f>E$8</f>
        <v>المؤسسة رقم 2</v>
      </c>
      <c r="F113" s="492" t="str">
        <f>F$8</f>
        <v>المؤسسة رقم 3</v>
      </c>
      <c r="G113" s="492" t="str">
        <f>G$8</f>
        <v>المؤسسة رقم 4</v>
      </c>
      <c r="H113" s="492" t="str">
        <f>H$8</f>
        <v>المؤسسة رقم 5</v>
      </c>
    </row>
    <row r="114" spans="1:11" ht="15" customHeight="1" x14ac:dyDescent="0.35">
      <c r="A114" s="493" t="s">
        <v>237</v>
      </c>
      <c r="B114" s="536">
        <f>IF(ISNUMBER(SUM(D114:H114)),SUM(D114:H114),"n.a.")</f>
        <v>2053850</v>
      </c>
      <c r="C114" s="494"/>
      <c r="D114" s="558">
        <f>+'5-Calculation'!C150</f>
        <v>346569</v>
      </c>
      <c r="E114" s="559">
        <f>+'5-Calculation'!D150</f>
        <v>503485</v>
      </c>
      <c r="F114" s="559">
        <f>+'5-Calculation'!E150</f>
        <v>526308</v>
      </c>
      <c r="G114" s="559">
        <f>+'5-Calculation'!F150</f>
        <v>442563</v>
      </c>
      <c r="H114" s="560">
        <f>+'5-Calculation'!G150</f>
        <v>234925</v>
      </c>
    </row>
    <row r="115" spans="1:11" ht="15" customHeight="1" x14ac:dyDescent="0.35">
      <c r="A115" s="495" t="s">
        <v>238</v>
      </c>
      <c r="B115" s="534">
        <f>IF(ISNUMBER(SUM(D115:H115)),SUM(D115:H115),"n.a.")</f>
        <v>4449105.7560662255</v>
      </c>
      <c r="C115" s="484"/>
      <c r="D115" s="561">
        <f>+'5-Calculation'!C156</f>
        <v>786691.41902616736</v>
      </c>
      <c r="E115" s="562">
        <f>+'5-Calculation'!D156</f>
        <v>804262.44181254576</v>
      </c>
      <c r="F115" s="562">
        <f>+'5-Calculation'!E156</f>
        <v>987585.21949123207</v>
      </c>
      <c r="G115" s="562">
        <f>+'5-Calculation'!F156</f>
        <v>748294.79214076232</v>
      </c>
      <c r="H115" s="563">
        <f>+'5-Calculation'!G156</f>
        <v>1122271.8835955176</v>
      </c>
    </row>
    <row r="116" spans="1:11" ht="15" customHeight="1" x14ac:dyDescent="0.35">
      <c r="A116" s="495" t="s">
        <v>239</v>
      </c>
      <c r="B116" s="534">
        <f>IF(ISNUMBER(SUM(D116:H116)),SUM(D116:H116),"n.a.")</f>
        <v>53961.75</v>
      </c>
      <c r="C116" s="484"/>
      <c r="D116" s="561">
        <f>+'5-Calculation'!C166</f>
        <v>1384</v>
      </c>
      <c r="E116" s="562">
        <f>+'5-Calculation'!D166</f>
        <v>9018.75</v>
      </c>
      <c r="F116" s="562">
        <f>+'5-Calculation'!E166</f>
        <v>10251.599999999999</v>
      </c>
      <c r="G116" s="562">
        <f>+'5-Calculation'!F166</f>
        <v>2051.4499999999998</v>
      </c>
      <c r="H116" s="563">
        <f>+'5-Calculation'!G166</f>
        <v>31255.949999999997</v>
      </c>
    </row>
    <row r="117" spans="1:11" ht="15" customHeight="1" x14ac:dyDescent="0.35">
      <c r="A117" s="495" t="s">
        <v>240</v>
      </c>
      <c r="B117" s="534">
        <f>IF(ISNUMBER(SUM(D117:H117)),SUM(D117:H117),"n.a.")</f>
        <v>0</v>
      </c>
      <c r="C117" s="484"/>
      <c r="D117" s="561">
        <f>+'5-Calculation'!C173</f>
        <v>0</v>
      </c>
      <c r="E117" s="562">
        <f>+'5-Calculation'!D173</f>
        <v>0</v>
      </c>
      <c r="F117" s="562">
        <f>+'5-Calculation'!E173</f>
        <v>0</v>
      </c>
      <c r="G117" s="562">
        <f>+'5-Calculation'!F173</f>
        <v>0</v>
      </c>
      <c r="H117" s="563">
        <f>+'5-Calculation'!G173</f>
        <v>0</v>
      </c>
    </row>
    <row r="118" spans="1:11" ht="15" customHeight="1" x14ac:dyDescent="0.35">
      <c r="A118" s="496" t="s">
        <v>436</v>
      </c>
      <c r="B118" s="535"/>
      <c r="C118" s="484"/>
      <c r="D118" s="564">
        <f>+'2-Input - IIFS Liqudity'!I61-'2-Input - IIFS Liqudity'!I131</f>
        <v>42368</v>
      </c>
      <c r="E118" s="565">
        <f>+'2-Input - IIFS Liqudity'!J61-'2-Input - IIFS Liqudity'!J131</f>
        <v>33057.199999999997</v>
      </c>
      <c r="F118" s="565">
        <f>+'2-Input - IIFS Liqudity'!K61-'2-Input - IIFS Liqudity'!K131</f>
        <v>10036.16</v>
      </c>
      <c r="G118" s="565">
        <f>+'2-Input - IIFS Liqudity'!L61-'2-Input - IIFS Liqudity'!L131</f>
        <v>48041.919999999998</v>
      </c>
      <c r="H118" s="566">
        <f>+'2-Input - IIFS Liqudity'!M61-'2-Input - IIFS Liqudity'!M131</f>
        <v>36020</v>
      </c>
    </row>
    <row r="119" spans="1:11" ht="15" customHeight="1" x14ac:dyDescent="0.35">
      <c r="A119" s="488" t="s">
        <v>241</v>
      </c>
      <c r="B119" s="296">
        <f>SUM(D119:H119)</f>
        <v>6726440.7860662248</v>
      </c>
      <c r="C119" s="497"/>
      <c r="D119" s="567">
        <f>IF(ISNUMBER(SUM(D114:D118)),SUM(D114:D118),"n.a.")</f>
        <v>1177012.4190261674</v>
      </c>
      <c r="E119" s="568">
        <f>IF(ISNUMBER(SUM(E114:E118)),SUM(E114:E118),"n.a.")</f>
        <v>1349823.3918125457</v>
      </c>
      <c r="F119" s="568">
        <f>IF(ISNUMBER(SUM(F114:F118)),SUM(F114:F118),"n.a.")</f>
        <v>1534180.9794912322</v>
      </c>
      <c r="G119" s="568">
        <f>IF(ISNUMBER(SUM(G114:G118)),SUM(G114:G118),"n.a.")</f>
        <v>1240951.1621407622</v>
      </c>
      <c r="H119" s="569">
        <f>IF(ISNUMBER(SUM(H114:H118)),SUM(H114:H118),"n.a.")</f>
        <v>1424472.8335955176</v>
      </c>
    </row>
    <row r="120" spans="1:11" ht="15" customHeight="1" x14ac:dyDescent="0.35">
      <c r="A120" s="482"/>
      <c r="B120" s="482"/>
      <c r="C120" s="390"/>
      <c r="D120" s="451"/>
      <c r="E120" s="451"/>
      <c r="F120" s="451"/>
      <c r="G120" s="451"/>
      <c r="H120" s="451"/>
    </row>
    <row r="121" spans="1:11" ht="15" customHeight="1" x14ac:dyDescent="0.35">
      <c r="A121" s="498" t="s">
        <v>242</v>
      </c>
      <c r="B121" s="376" t="s">
        <v>172</v>
      </c>
      <c r="C121" s="451"/>
      <c r="D121" s="492" t="str">
        <f>D$8</f>
        <v>المؤسسة رقم 1</v>
      </c>
      <c r="E121" s="492" t="str">
        <f>E$8</f>
        <v>المؤسسة رقم 2</v>
      </c>
      <c r="F121" s="492" t="str">
        <f>F$8</f>
        <v>المؤسسة رقم 3</v>
      </c>
      <c r="G121" s="492" t="str">
        <f>G$8</f>
        <v>المؤسسة رقم 4</v>
      </c>
      <c r="H121" s="492" t="str">
        <f>H$8</f>
        <v>المؤسسة رقم 5</v>
      </c>
    </row>
    <row r="122" spans="1:11" s="17" customFormat="1" ht="15" customHeight="1" x14ac:dyDescent="0.35">
      <c r="A122" s="499" t="s">
        <v>319</v>
      </c>
      <c r="B122" s="536">
        <f>SUM(D122:H122)</f>
        <v>5064620</v>
      </c>
      <c r="C122" s="494"/>
      <c r="D122" s="422">
        <f>+'2-Input - IIFS Liqudity'!I129</f>
        <v>987194</v>
      </c>
      <c r="E122" s="423">
        <f>+'2-Input - IIFS Liqudity'!J129</f>
        <v>1025229</v>
      </c>
      <c r="F122" s="423">
        <f>+'2-Input - IIFS Liqudity'!K129</f>
        <v>963362</v>
      </c>
      <c r="G122" s="423">
        <f>+'2-Input - IIFS Liqudity'!L129</f>
        <v>1009953</v>
      </c>
      <c r="H122" s="424">
        <f>+'2-Input - IIFS Liqudity'!M129</f>
        <v>1078882</v>
      </c>
      <c r="I122" s="31"/>
      <c r="J122" s="31"/>
      <c r="K122" s="31"/>
    </row>
    <row r="123" spans="1:11" s="17" customFormat="1" ht="15" customHeight="1" x14ac:dyDescent="0.35">
      <c r="A123" s="500" t="s">
        <v>320</v>
      </c>
      <c r="B123" s="534">
        <f>SUM(D123:H123)</f>
        <v>4051696</v>
      </c>
      <c r="C123" s="484"/>
      <c r="D123" s="432">
        <f>+'2-Input - IIFS Liqudity'!I129*'3-Assumptions'!$I$140</f>
        <v>789755.20000000007</v>
      </c>
      <c r="E123" s="433">
        <f>+'2-Input - IIFS Liqudity'!J129*'3-Assumptions'!$I$140</f>
        <v>820183.20000000007</v>
      </c>
      <c r="F123" s="433">
        <f>+'2-Input - IIFS Liqudity'!K129*'3-Assumptions'!$I$140</f>
        <v>770689.60000000009</v>
      </c>
      <c r="G123" s="433">
        <f>+'2-Input - IIFS Liqudity'!L129*'3-Assumptions'!$I$140</f>
        <v>807962.4</v>
      </c>
      <c r="H123" s="434">
        <f>+'2-Input - IIFS Liqudity'!M129*'3-Assumptions'!$I$140</f>
        <v>863105.60000000009</v>
      </c>
      <c r="I123" s="31"/>
      <c r="J123" s="31"/>
      <c r="K123" s="31"/>
    </row>
    <row r="124" spans="1:11" s="17" customFormat="1" ht="15" customHeight="1" x14ac:dyDescent="0.35">
      <c r="A124" s="498" t="s">
        <v>243</v>
      </c>
      <c r="B124" s="539">
        <f>SUM(D124:H124)</f>
        <v>1012923.9999999997</v>
      </c>
      <c r="C124" s="501"/>
      <c r="D124" s="463">
        <f>IF(ISNUMBER(IF((D122-D123)&gt;0.75*D119,0.75*D119,D122-D123)),IF((D122-D123)&gt;0.75*D119,0.75*D119,D122-D123),"n.a.")</f>
        <v>197438.79999999993</v>
      </c>
      <c r="E124" s="464">
        <f>IF(ISNUMBER(IF((E122-E123)&gt;0.75*E119,0.75*E119,E122-E123)),IF((E122-E123)&gt;0.75*E119,0.75*E119,E122-E123),"n.a.")</f>
        <v>205045.79999999993</v>
      </c>
      <c r="F124" s="464">
        <f>IF(ISNUMBER(IF((F122-F123)&gt;0.75*F119,0.75*F119,F122-F123)),IF((F122-F123)&gt;0.75*F119,0.75*F119,F122-F123),"n.a.")</f>
        <v>192672.39999999991</v>
      </c>
      <c r="G124" s="464">
        <f>IF(ISNUMBER(IF((G122-G123)&gt;0.75*G119,0.75*G119,G122-G123)),IF((G122-G123)&gt;0.75*G119,0.75*G119,G122-G123),"n.a.")</f>
        <v>201990.59999999998</v>
      </c>
      <c r="H124" s="465">
        <f>IF(ISNUMBER(IF((H122-H123)&gt;0.75*H119,0.75*H119,H122-H123)),IF((H122-H123)&gt;0.75*H119,0.75*H119,H122-H123),"n.a.")</f>
        <v>215776.39999999991</v>
      </c>
      <c r="I124" s="31"/>
      <c r="J124" s="31"/>
      <c r="K124" s="31"/>
    </row>
    <row r="125" spans="1:11" ht="15" customHeight="1" x14ac:dyDescent="0.35">
      <c r="A125" s="502"/>
      <c r="B125" s="540"/>
      <c r="C125" s="503"/>
      <c r="D125" s="504"/>
      <c r="E125" s="504"/>
      <c r="F125" s="504"/>
      <c r="G125" s="504"/>
      <c r="H125" s="504"/>
    </row>
    <row r="126" spans="1:11" ht="15" customHeight="1" x14ac:dyDescent="0.35">
      <c r="A126" s="498" t="s">
        <v>36</v>
      </c>
      <c r="B126" s="541">
        <f>SUMPRODUCT(D126:H126,D105:H105)/B105</f>
        <v>4.4770427520372236</v>
      </c>
      <c r="C126" s="505"/>
      <c r="D126" s="549">
        <f>IF(ISNUMBER(D110/(D119-D124)),D110/(D119-D124),"n.a.")</f>
        <v>3.8010683196037927</v>
      </c>
      <c r="E126" s="550">
        <f>IF(ISNUMBER(E110/(E119-E124)),E110/(E119-E124),"n.a.")</f>
        <v>5.1911978732835919</v>
      </c>
      <c r="F126" s="550">
        <f>IF(ISNUMBER(F110/(F119-F124)),F110/(F119-F124),"n.a.")</f>
        <v>3.3677921401840187</v>
      </c>
      <c r="G126" s="550">
        <f>IF(ISNUMBER(G110/(G119-G124)),G110/(G119-G124),"n.a.")</f>
        <v>4.8903810068890943</v>
      </c>
      <c r="H126" s="551">
        <f>IF(ISNUMBER(H110/(H119-H124)),H110/(H119-H124),"n.a.")</f>
        <v>5.1192671939914511</v>
      </c>
    </row>
    <row r="127" spans="1:11" ht="15" customHeight="1" x14ac:dyDescent="0.35">
      <c r="A127" s="498" t="s">
        <v>244</v>
      </c>
      <c r="B127" s="542">
        <f>SUM(D127:H127)</f>
        <v>0</v>
      </c>
      <c r="C127" s="506"/>
      <c r="D127" s="552">
        <f>IF(ISNUMBER(D126),IF(D126&lt;1,(D126-1)*D110,0),"n.a.")</f>
        <v>0</v>
      </c>
      <c r="E127" s="553">
        <f>IF(ISNUMBER(E126),IF(E126&lt;1,(E126-1)*E110,0),"n.a.")</f>
        <v>0</v>
      </c>
      <c r="F127" s="553">
        <f>IF(ISNUMBER(F126),IF(F126&lt;1,(F126-1)*F110,0),"n.a.")</f>
        <v>0</v>
      </c>
      <c r="G127" s="553">
        <f>IF(ISNUMBER(G126),IF(G126&lt;1,(G126-1)*G110,0),"n.a.")</f>
        <v>0</v>
      </c>
      <c r="H127" s="554">
        <f>IF(ISNUMBER(H126),IF(H126&lt;1,(H126-1)*H110,0),"n.a.")</f>
        <v>0</v>
      </c>
    </row>
    <row r="128" spans="1:11" ht="15" customHeight="1" x14ac:dyDescent="0.35">
      <c r="A128" s="498" t="s">
        <v>250</v>
      </c>
      <c r="B128" s="543">
        <f>SUM(D128:H128)</f>
        <v>0</v>
      </c>
      <c r="C128" s="507"/>
      <c r="D128" s="555">
        <f>IF(ISNUMBER(D126),IF(D126&lt;1,1,0),"n.a.")</f>
        <v>0</v>
      </c>
      <c r="E128" s="556">
        <f>IF(ISNUMBER(E126),IF(E126&lt;1,1,0),"n.a.")</f>
        <v>0</v>
      </c>
      <c r="F128" s="556">
        <f>IF(ISNUMBER(F126),IF(F126&lt;1,1,0),"n.a.")</f>
        <v>0</v>
      </c>
      <c r="G128" s="556">
        <f>IF(ISNUMBER(G126),IF(G126&lt;1,1,0),"n.a.")</f>
        <v>0</v>
      </c>
      <c r="H128" s="557">
        <f>IF(ISNUMBER(H126),IF(H126&lt;1,1,0),"n.a.")</f>
        <v>0</v>
      </c>
    </row>
    <row r="129" spans="1:8" ht="15" customHeight="1" x14ac:dyDescent="0.35">
      <c r="A129" s="508"/>
      <c r="B129" s="508"/>
      <c r="C129" s="509"/>
      <c r="D129" s="382"/>
      <c r="E129" s="382"/>
      <c r="F129" s="382"/>
      <c r="G129" s="382"/>
      <c r="H129" s="382"/>
    </row>
    <row r="130" spans="1:8" ht="15" customHeight="1" x14ac:dyDescent="0.35">
      <c r="A130" s="389"/>
      <c r="B130" s="389"/>
      <c r="C130" s="390"/>
      <c r="D130" s="382"/>
      <c r="E130" s="382"/>
      <c r="F130" s="382"/>
      <c r="G130" s="382"/>
      <c r="H130" s="382"/>
    </row>
    <row r="131" spans="1:8" ht="15" customHeight="1" x14ac:dyDescent="0.35">
      <c r="A131" s="391" t="s">
        <v>249</v>
      </c>
      <c r="B131" s="510"/>
      <c r="C131" s="393"/>
      <c r="D131" s="393"/>
      <c r="E131" s="393"/>
      <c r="F131" s="393"/>
      <c r="G131" s="393"/>
      <c r="H131" s="796"/>
    </row>
    <row r="132" spans="1:8" ht="15" customHeight="1" x14ac:dyDescent="0.35">
      <c r="A132" s="511"/>
      <c r="B132" s="512"/>
      <c r="C132" s="513"/>
      <c r="D132" s="390"/>
      <c r="E132" s="390"/>
      <c r="F132" s="390"/>
      <c r="G132" s="390"/>
      <c r="H132" s="390"/>
    </row>
    <row r="133" spans="1:8" ht="15" customHeight="1" x14ac:dyDescent="0.35">
      <c r="A133" s="514"/>
      <c r="B133" s="515" t="s">
        <v>172</v>
      </c>
      <c r="C133" s="516"/>
      <c r="D133" s="517" t="str">
        <f>+D8</f>
        <v>المؤسسة رقم 1</v>
      </c>
      <c r="E133" s="517" t="str">
        <f>+E8</f>
        <v>المؤسسة رقم 2</v>
      </c>
      <c r="F133" s="517" t="str">
        <f>+F8</f>
        <v>المؤسسة رقم 3</v>
      </c>
      <c r="G133" s="517" t="str">
        <f>+G8</f>
        <v>المؤسسة رقم 4</v>
      </c>
      <c r="H133" s="517" t="str">
        <f>+H8</f>
        <v>المؤسسة رقم 5</v>
      </c>
    </row>
    <row r="134" spans="1:8" ht="15" customHeight="1" x14ac:dyDescent="0.35">
      <c r="A134" s="514" t="s">
        <v>51</v>
      </c>
      <c r="B134" s="300">
        <f>SUM(D134:H134)</f>
        <v>82084134.373911291</v>
      </c>
      <c r="C134" s="518"/>
      <c r="D134" s="463">
        <f>+'2-Input - IIFS Liqudity'!I15</f>
        <v>16849328.640699401</v>
      </c>
      <c r="E134" s="464">
        <f>+'2-Input - IIFS Liqudity'!J15</f>
        <v>16545896.7205882</v>
      </c>
      <c r="F134" s="464">
        <f>+'2-Input - IIFS Liqudity'!K15</f>
        <v>15947302.0410292</v>
      </c>
      <c r="G134" s="464">
        <f>+'2-Input - IIFS Liqudity'!L15</f>
        <v>16447157.782196999</v>
      </c>
      <c r="H134" s="465">
        <f>+'2-Input - IIFS Liqudity'!M15</f>
        <v>16294449.189397499</v>
      </c>
    </row>
    <row r="135" spans="1:8" ht="15" customHeight="1" x14ac:dyDescent="0.35">
      <c r="A135" s="519"/>
      <c r="B135" s="388"/>
      <c r="C135" s="388"/>
      <c r="D135" s="544"/>
      <c r="E135" s="544"/>
      <c r="F135" s="544"/>
      <c r="G135" s="544"/>
      <c r="H135" s="544"/>
    </row>
    <row r="136" spans="1:8" ht="15" customHeight="1" x14ac:dyDescent="0.35">
      <c r="A136" s="514" t="s">
        <v>169</v>
      </c>
      <c r="B136" s="300">
        <f>SUM(D136:H136)</f>
        <v>14935679.550000001</v>
      </c>
      <c r="C136" s="177"/>
      <c r="D136" s="545">
        <f>+'5-Calculation'!C192</f>
        <v>3919197.1</v>
      </c>
      <c r="E136" s="546">
        <f>+'5-Calculation'!D192</f>
        <v>3641192.8</v>
      </c>
      <c r="F136" s="546">
        <f>+'5-Calculation'!E192</f>
        <v>2769719.5</v>
      </c>
      <c r="G136" s="546">
        <f>+'5-Calculation'!F192</f>
        <v>2587930</v>
      </c>
      <c r="H136" s="547">
        <f>+'5-Calculation'!G192</f>
        <v>2017640.15</v>
      </c>
    </row>
    <row r="137" spans="1:8" ht="15" customHeight="1" x14ac:dyDescent="0.35">
      <c r="A137" s="389"/>
      <c r="B137" s="520"/>
      <c r="C137" s="512"/>
      <c r="D137" s="548"/>
      <c r="E137" s="548"/>
      <c r="F137" s="548"/>
      <c r="G137" s="548"/>
      <c r="H137" s="548"/>
    </row>
    <row r="138" spans="1:8" ht="15" x14ac:dyDescent="0.35">
      <c r="A138" s="514" t="s">
        <v>170</v>
      </c>
      <c r="B138" s="300">
        <f>SUM(D138:H138)</f>
        <v>3632993.6500000004</v>
      </c>
      <c r="C138" s="518"/>
      <c r="D138" s="545">
        <f>+'5-Calculation'!C200</f>
        <v>853109.15</v>
      </c>
      <c r="E138" s="546">
        <f>+'5-Calculation'!D200</f>
        <v>695012.55</v>
      </c>
      <c r="F138" s="546">
        <f>+'5-Calculation'!E200</f>
        <v>716094.35</v>
      </c>
      <c r="G138" s="546">
        <f>+'5-Calculation'!F200</f>
        <v>714133.15</v>
      </c>
      <c r="H138" s="547">
        <f>+'5-Calculation'!G200</f>
        <v>654644.44999999995</v>
      </c>
    </row>
    <row r="139" spans="1:8" ht="15" x14ac:dyDescent="0.35">
      <c r="A139" s="389"/>
      <c r="B139" s="520"/>
      <c r="C139" s="512"/>
      <c r="D139" s="548"/>
      <c r="E139" s="548"/>
      <c r="F139" s="548"/>
      <c r="G139" s="548"/>
      <c r="H139" s="548"/>
    </row>
    <row r="140" spans="1:8" ht="15" x14ac:dyDescent="0.35">
      <c r="A140" s="514" t="s">
        <v>245</v>
      </c>
      <c r="B140" s="521">
        <f>SUMPRODUCT(D140:H140,D134:H134)/$B$134</f>
        <v>4.08841925121438</v>
      </c>
      <c r="C140" s="522"/>
      <c r="D140" s="549">
        <f>IF(ISNUMBER(D136/D138),D136/D138,"n.a.")</f>
        <v>4.5940160177627911</v>
      </c>
      <c r="E140" s="550">
        <f>IF(ISNUMBER(E136/E138),E136/E138,"n.a.")</f>
        <v>5.2390317268371627</v>
      </c>
      <c r="F140" s="550">
        <f>IF(ISNUMBER(F136/F138),F136/F138,"n.a.")</f>
        <v>3.8678136477406926</v>
      </c>
      <c r="G140" s="550">
        <f>IF(ISNUMBER(G136/G138),G136/G138,"n.a.")</f>
        <v>3.6238760236798977</v>
      </c>
      <c r="H140" s="551">
        <f>IF(ISNUMBER(H136/H138),H136/H138,"n.a.")</f>
        <v>3.0820396476285716</v>
      </c>
    </row>
    <row r="141" spans="1:8" ht="15" x14ac:dyDescent="0.35">
      <c r="A141" s="514" t="s">
        <v>244</v>
      </c>
      <c r="B141" s="523">
        <f>SUM(D141:H141)</f>
        <v>0</v>
      </c>
      <c r="C141" s="524"/>
      <c r="D141" s="552">
        <f>IF(ISNUMBER(D140),IF(D140&lt;1,(D140-1)*D138,0),"n.a.")</f>
        <v>0</v>
      </c>
      <c r="E141" s="553">
        <f>IF(ISNUMBER(E140),IF(E140&lt;1,(E140-1)*E138,0),"n.a.")</f>
        <v>0</v>
      </c>
      <c r="F141" s="553">
        <f>IF(ISNUMBER(F140),IF(F140&lt;1,(F140-1)*F138,0),"n.a.")</f>
        <v>0</v>
      </c>
      <c r="G141" s="553">
        <f>IF(ISNUMBER(G140),IF(G140&lt;1,(G140-1)*G138,0),"n.a.")</f>
        <v>0</v>
      </c>
      <c r="H141" s="554">
        <f>IF(ISNUMBER(H140),IF(H140&lt;1,(H140-1)*H138,0),"n.a.")</f>
        <v>0</v>
      </c>
    </row>
    <row r="142" spans="1:8" ht="15" x14ac:dyDescent="0.35">
      <c r="A142" s="514" t="s">
        <v>250</v>
      </c>
      <c r="B142" s="525">
        <f>SUM(D142:H142)</f>
        <v>0</v>
      </c>
      <c r="C142" s="526"/>
      <c r="D142" s="555">
        <f>IF(ISNUMBER(D140),IF(D140&lt;1,1,0),"n.a.")</f>
        <v>0</v>
      </c>
      <c r="E142" s="556">
        <f>IF(ISNUMBER(E140),IF(E140&lt;1,1,0),"n.a.")</f>
        <v>0</v>
      </c>
      <c r="F142" s="556">
        <f>IF(ISNUMBER(F140),IF(F140&lt;1,1,0),"n.a.")</f>
        <v>0</v>
      </c>
      <c r="G142" s="556">
        <f>IF(ISNUMBER(G140),IF(G140&lt;1,1,0),"n.a.")</f>
        <v>0</v>
      </c>
      <c r="H142" s="557">
        <f>IF(ISNUMBER(H140),IF(H140&lt;1,1,0),"n.a.")</f>
        <v>0</v>
      </c>
    </row>
  </sheetData>
  <sheetProtection password="A972" sheet="1" objects="1" scenarios="1"/>
  <mergeCells count="1">
    <mergeCell ref="A2:G2"/>
  </mergeCells>
  <conditionalFormatting sqref="D99:H99 D101:H101 D81:H81 D53:H53 D67:H67 D39:H39 D25:H25">
    <cfRule type="colorScale" priority="38">
      <colorScale>
        <cfvo type="num" val="0"/>
        <cfvo type="num" val="1"/>
        <color rgb="FF00B050"/>
        <color rgb="FFFF0000"/>
      </colorScale>
    </cfRule>
  </conditionalFormatting>
  <conditionalFormatting sqref="D126:H126">
    <cfRule type="cellIs" dxfId="16" priority="37" stopIfTrue="1" operator="lessThan">
      <formula>1</formula>
    </cfRule>
  </conditionalFormatting>
  <conditionalFormatting sqref="D100:H100">
    <cfRule type="cellIs" dxfId="15" priority="8" operator="lessThan">
      <formula>0</formula>
    </cfRule>
  </conditionalFormatting>
  <conditionalFormatting sqref="D128:H128">
    <cfRule type="cellIs" dxfId="14" priority="7" operator="equal">
      <formula>1</formula>
    </cfRule>
  </conditionalFormatting>
  <conditionalFormatting sqref="D39:H39">
    <cfRule type="colorScale" priority="51">
      <colorScale>
        <cfvo type="min"/>
        <cfvo type="percentile" val="50"/>
        <cfvo type="max"/>
        <color rgb="FF63BE7B"/>
        <color rgb="FFFFEB84"/>
        <color rgb="FFF8696B"/>
      </colorScale>
    </cfRule>
  </conditionalFormatting>
  <conditionalFormatting sqref="D53:H53">
    <cfRule type="colorScale" priority="52">
      <colorScale>
        <cfvo type="min"/>
        <cfvo type="percentile" val="50"/>
        <cfvo type="max"/>
        <color rgb="FF63BE7B"/>
        <color rgb="FFFFEB84"/>
        <color rgb="FFF8696B"/>
      </colorScale>
    </cfRule>
  </conditionalFormatting>
  <conditionalFormatting sqref="D67:H67">
    <cfRule type="colorScale" priority="53">
      <colorScale>
        <cfvo type="min"/>
        <cfvo type="percentile" val="50"/>
        <cfvo type="max"/>
        <color rgb="FF63BE7B"/>
        <color rgb="FFFFEB84"/>
        <color rgb="FFF8696B"/>
      </colorScale>
    </cfRule>
  </conditionalFormatting>
  <conditionalFormatting sqref="D81:H81">
    <cfRule type="colorScale" priority="54">
      <colorScale>
        <cfvo type="min"/>
        <cfvo type="percentile" val="50"/>
        <cfvo type="max"/>
        <color rgb="FF63BE7B"/>
        <color rgb="FFFFEB84"/>
        <color rgb="FFF8696B"/>
      </colorScale>
    </cfRule>
  </conditionalFormatting>
  <conditionalFormatting sqref="D101:H101 D99:H99">
    <cfRule type="colorScale" priority="55">
      <colorScale>
        <cfvo type="min"/>
        <cfvo type="percentile" val="50"/>
        <cfvo type="max"/>
        <color rgb="FF63BE7B"/>
        <color rgb="FFFFEB84"/>
        <color rgb="FFF8696B"/>
      </colorScale>
    </cfRule>
  </conditionalFormatting>
  <conditionalFormatting sqref="D141:H141">
    <cfRule type="cellIs" dxfId="13" priority="6" stopIfTrue="1" operator="lessThan">
      <formula>0</formula>
    </cfRule>
  </conditionalFormatting>
  <conditionalFormatting sqref="D140:H140">
    <cfRule type="cellIs" dxfId="12" priority="3" operator="lessThan">
      <formula>1</formula>
    </cfRule>
    <cfRule type="cellIs" dxfId="11" priority="4" stopIfTrue="1" operator="lessThan">
      <formula>1</formula>
    </cfRule>
    <cfRule type="cellIs" dxfId="10" priority="5" stopIfTrue="1" operator="lessThan">
      <formula>1</formula>
    </cfRule>
  </conditionalFormatting>
  <conditionalFormatting sqref="D142:H142">
    <cfRule type="cellIs" dxfId="9" priority="1" operator="equal">
      <formula>1</formula>
    </cfRule>
    <cfRule type="cellIs" dxfId="8" priority="2" operator="equal">
      <formula>1</formula>
    </cfRule>
  </conditionalFormatting>
  <dataValidations disablePrompts="1" count="1">
    <dataValidation allowBlank="1" showInputMessage="1" showErrorMessage="1" prompt="حسب افتراضات السيولة والتخفيض_x000a_" sqref="D14:H14"/>
  </dataValidations>
  <pageMargins left="0.70866141732283472" right="0.19685039370078741" top="0.74803149606299213" bottom="0.94488188976377963" header="0.31496062992125984" footer="0.31496062992125984"/>
  <pageSetup scale="82" fitToHeight="0" orientation="landscape" r:id="rId1"/>
  <headerFooter>
    <oddHeader xml:space="preserve">&amp;C&amp;"Sakkal Majalla,Regular"&amp;10مجلس الخدمات المالية الإسلامية 2017 ©
هذه الوثيقة هي جزء من الملاحظة الفنية رقم 2 (الملاحظة الفنية حول اختبارات الضغط للمؤسسات التي تقدم خدمات مالية إسلامية)، ديسمبر 2016
</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FFC000"/>
    <pageSetUpPr fitToPage="1"/>
  </sheetPr>
  <dimension ref="A1:AG255"/>
  <sheetViews>
    <sheetView rightToLeft="1" view="pageLayout" zoomScale="90" zoomScaleNormal="100" zoomScaleSheetLayoutView="106" zoomScalePageLayoutView="90" workbookViewId="0">
      <selection activeCell="A12" sqref="A12"/>
    </sheetView>
  </sheetViews>
  <sheetFormatPr defaultColWidth="9.140625" defaultRowHeight="12.75" x14ac:dyDescent="0.2"/>
  <cols>
    <col min="1" max="1" width="60.7109375" style="56" customWidth="1"/>
    <col min="2" max="9" width="20.7109375" style="27" customWidth="1"/>
    <col min="10" max="26" width="9.140625" style="27"/>
    <col min="27" max="16384" width="9.140625" style="22"/>
  </cols>
  <sheetData>
    <row r="1" spans="1:33" ht="13.5" thickBot="1" x14ac:dyDescent="0.25"/>
    <row r="2" spans="1:33" s="23" customFormat="1" ht="19.5" thickBot="1" x14ac:dyDescent="0.5">
      <c r="A2" s="1045" t="s">
        <v>186</v>
      </c>
      <c r="B2" s="1046"/>
      <c r="C2" s="1046"/>
      <c r="D2" s="1046"/>
      <c r="E2" s="1046"/>
      <c r="F2" s="1046"/>
      <c r="G2" s="1046"/>
      <c r="H2" s="29"/>
      <c r="I2" s="29"/>
      <c r="J2" s="29"/>
      <c r="K2" s="29"/>
      <c r="L2" s="29"/>
      <c r="M2" s="29"/>
      <c r="N2" s="29"/>
      <c r="O2" s="29"/>
      <c r="P2" s="29"/>
      <c r="Q2" s="29"/>
      <c r="R2" s="29"/>
      <c r="S2" s="29"/>
      <c r="T2" s="29"/>
      <c r="U2" s="29"/>
      <c r="V2" s="29"/>
      <c r="W2" s="29"/>
      <c r="X2" s="29"/>
      <c r="Y2" s="29"/>
      <c r="Z2" s="29"/>
    </row>
    <row r="3" spans="1:33" s="23" customFormat="1" ht="15" x14ac:dyDescent="0.35">
      <c r="A3" s="661"/>
      <c r="B3" s="662"/>
      <c r="C3" s="662"/>
      <c r="D3" s="662"/>
      <c r="E3" s="662"/>
      <c r="F3" s="663"/>
      <c r="G3" s="663"/>
      <c r="H3" s="29"/>
      <c r="I3" s="29"/>
      <c r="J3" s="29"/>
      <c r="K3" s="29"/>
      <c r="L3" s="29"/>
      <c r="M3" s="29"/>
      <c r="N3" s="29"/>
      <c r="O3" s="29"/>
      <c r="P3" s="29"/>
      <c r="Q3" s="29"/>
      <c r="R3" s="29"/>
      <c r="S3" s="29"/>
      <c r="T3" s="29"/>
      <c r="U3" s="29"/>
      <c r="V3" s="29"/>
      <c r="W3" s="29"/>
      <c r="X3" s="29"/>
      <c r="Y3" s="29"/>
      <c r="Z3" s="29"/>
    </row>
    <row r="4" spans="1:33" s="23" customFormat="1" ht="15" x14ac:dyDescent="0.35">
      <c r="A4" s="1047" t="s">
        <v>271</v>
      </c>
      <c r="B4" s="1048"/>
      <c r="C4" s="1048"/>
      <c r="D4" s="1048"/>
      <c r="E4" s="1048"/>
      <c r="F4" s="1048"/>
      <c r="G4" s="1049"/>
      <c r="H4" s="29"/>
      <c r="I4" s="29"/>
      <c r="J4" s="29"/>
      <c r="K4" s="29"/>
      <c r="L4" s="29"/>
      <c r="M4" s="29"/>
      <c r="N4" s="29"/>
      <c r="O4" s="29"/>
      <c r="P4" s="29"/>
      <c r="Q4" s="29"/>
      <c r="R4" s="29"/>
      <c r="S4" s="29"/>
      <c r="T4" s="29"/>
      <c r="U4" s="29"/>
      <c r="V4" s="29"/>
      <c r="W4" s="29"/>
      <c r="X4" s="29"/>
      <c r="Y4" s="29"/>
      <c r="Z4" s="29"/>
    </row>
    <row r="5" spans="1:33" ht="15" x14ac:dyDescent="0.35">
      <c r="A5" s="664"/>
      <c r="B5" s="662"/>
      <c r="C5" s="662"/>
      <c r="D5" s="662"/>
      <c r="E5" s="662"/>
      <c r="F5" s="662"/>
      <c r="G5" s="662"/>
    </row>
    <row r="6" spans="1:33" ht="12.75" customHeight="1" x14ac:dyDescent="0.35">
      <c r="A6" s="665" t="s">
        <v>10</v>
      </c>
      <c r="B6" s="666"/>
      <c r="C6" s="666"/>
      <c r="D6" s="666"/>
      <c r="E6" s="666"/>
      <c r="F6" s="666"/>
      <c r="G6" s="666"/>
    </row>
    <row r="7" spans="1:33" ht="15" x14ac:dyDescent="0.35">
      <c r="A7" s="664"/>
      <c r="B7" s="662"/>
      <c r="C7" s="662"/>
      <c r="D7" s="662"/>
      <c r="E7" s="662"/>
      <c r="F7" s="662"/>
      <c r="G7" s="662"/>
    </row>
    <row r="8" spans="1:33" s="24" customFormat="1" ht="15" x14ac:dyDescent="0.2">
      <c r="A8" s="667" t="s">
        <v>161</v>
      </c>
      <c r="B8" s="668" t="s">
        <v>46</v>
      </c>
      <c r="C8" s="669" t="str">
        <f>+'2-Input - IIFS Liqudity'!I4</f>
        <v>المؤسسة رقم 1</v>
      </c>
      <c r="D8" s="669" t="str">
        <f>+'2-Input - IIFS Liqudity'!J4</f>
        <v>المؤسسة رقم 2</v>
      </c>
      <c r="E8" s="669" t="str">
        <f>+'2-Input - IIFS Liqudity'!K4</f>
        <v>المؤسسة رقم 3</v>
      </c>
      <c r="F8" s="669" t="str">
        <f>+'2-Input - IIFS Liqudity'!L4</f>
        <v>المؤسسة رقم 4</v>
      </c>
      <c r="G8" s="517" t="str">
        <f>+'2-Input - IIFS Liqudity'!M4</f>
        <v>المؤسسة رقم 5</v>
      </c>
      <c r="H8" s="30"/>
      <c r="I8" s="30"/>
      <c r="J8" s="30"/>
      <c r="K8" s="30"/>
      <c r="L8" s="30"/>
      <c r="M8" s="30"/>
      <c r="N8" s="30"/>
      <c r="O8" s="30"/>
      <c r="P8" s="30"/>
      <c r="Q8" s="30"/>
      <c r="R8" s="30"/>
      <c r="S8" s="30"/>
      <c r="T8" s="30"/>
      <c r="U8" s="30"/>
      <c r="V8" s="30"/>
      <c r="W8" s="30"/>
      <c r="X8" s="30"/>
      <c r="Y8" s="30"/>
      <c r="Z8" s="30"/>
    </row>
    <row r="9" spans="1:33" ht="15" x14ac:dyDescent="0.35">
      <c r="A9" s="670" t="s">
        <v>251</v>
      </c>
      <c r="B9" s="671">
        <f t="shared" ref="B9:B17" si="0">SUM(C9:G9)</f>
        <v>2826776.5612897389</v>
      </c>
      <c r="C9" s="672">
        <f>SUM(C10:C16)</f>
        <v>480017.38927710499</v>
      </c>
      <c r="D9" s="673">
        <f>SUM(D10:D16)</f>
        <v>619100.64657884568</v>
      </c>
      <c r="E9" s="673">
        <f>SUM(E10:E16)</f>
        <v>736283.8096633656</v>
      </c>
      <c r="F9" s="673">
        <f>SUM(F10:F16)</f>
        <v>558917.10647121433</v>
      </c>
      <c r="G9" s="674">
        <f>SUM(G10:G16)</f>
        <v>432457.60929920821</v>
      </c>
    </row>
    <row r="10" spans="1:33" ht="15" x14ac:dyDescent="0.35">
      <c r="A10" s="675" t="str">
        <f>+'2-Input - IIFS Liqudity'!$B$38</f>
        <v>إجمالي ودائع العملاء/الحسابات الاستثمارية المطلقة القائمة على المشاركة في الأرباح</v>
      </c>
      <c r="B10" s="676">
        <f>SUM(C10:G10)</f>
        <v>2763204.5612897389</v>
      </c>
      <c r="C10" s="677">
        <f>$B$76*'2-Input - IIFS Liqudity'!I38</f>
        <v>464129.38927710499</v>
      </c>
      <c r="D10" s="678">
        <f>$B$76*'2-Input - IIFS Liqudity'!J38</f>
        <v>606704.64657884568</v>
      </c>
      <c r="E10" s="678">
        <f>$B$76*'2-Input - IIFS Liqudity'!K38</f>
        <v>732519.8096633656</v>
      </c>
      <c r="F10" s="678">
        <f>$B$76*'2-Input - IIFS Liqudity'!L38</f>
        <v>540901.10647121433</v>
      </c>
      <c r="G10" s="679">
        <f>$B$76*'2-Input - IIFS Liqudity'!M38</f>
        <v>418949.60929920821</v>
      </c>
      <c r="I10" s="28"/>
    </row>
    <row r="11" spans="1:33" ht="15" x14ac:dyDescent="0.35">
      <c r="A11" s="680" t="str">
        <f>+'2-Input - IIFS Liqudity'!$B$63</f>
        <v>التمويل قصير الأجل</v>
      </c>
      <c r="B11" s="681">
        <f t="shared" si="0"/>
        <v>0</v>
      </c>
      <c r="C11" s="682">
        <f>IF(ISNUMBER($B$104*'2-Input - IIFS Liqudity'!I63),$B$104*'2-Input - IIFS Liqudity'!I63,"n.a.")</f>
        <v>0</v>
      </c>
      <c r="D11" s="683">
        <f>IF(ISNUMBER($B$104*'2-Input - IIFS Liqudity'!J63),$B$104*'2-Input - IIFS Liqudity'!J63,"n.a.")</f>
        <v>0</v>
      </c>
      <c r="E11" s="683">
        <f>IF(ISNUMBER($B$104*'2-Input - IIFS Liqudity'!K63),$B$104*'2-Input - IIFS Liqudity'!K63,"n.a.")</f>
        <v>0</v>
      </c>
      <c r="F11" s="683">
        <f>IF(ISNUMBER($B$104*'2-Input - IIFS Liqudity'!L63),$B$104*'2-Input - IIFS Liqudity'!L63,"n.a.")</f>
        <v>0</v>
      </c>
      <c r="G11" s="684">
        <f>IF(ISNUMBER($B$104*'2-Input - IIFS Liqudity'!M63),$B$104*'2-Input - IIFS Liqudity'!M63,"n.a.")</f>
        <v>0</v>
      </c>
      <c r="I11" s="28"/>
    </row>
    <row r="12" spans="1:33" ht="15" x14ac:dyDescent="0.35">
      <c r="A12" s="680" t="str">
        <f>+'2-Input - IIFS Liqudity'!$B$73</f>
        <v>التمويل الممنوح من البنك المركزي</v>
      </c>
      <c r="B12" s="681">
        <f t="shared" si="0"/>
        <v>0</v>
      </c>
      <c r="C12" s="682" t="s">
        <v>171</v>
      </c>
      <c r="D12" s="683" t="s">
        <v>171</v>
      </c>
      <c r="E12" s="683" t="s">
        <v>171</v>
      </c>
      <c r="F12" s="683" t="s">
        <v>171</v>
      </c>
      <c r="G12" s="684" t="s">
        <v>171</v>
      </c>
    </row>
    <row r="13" spans="1:33" ht="15" x14ac:dyDescent="0.35">
      <c r="A13" s="680" t="s">
        <v>95</v>
      </c>
      <c r="B13" s="681">
        <f t="shared" si="0"/>
        <v>0</v>
      </c>
      <c r="C13" s="682" t="s">
        <v>171</v>
      </c>
      <c r="D13" s="683" t="s">
        <v>171</v>
      </c>
      <c r="E13" s="683" t="s">
        <v>171</v>
      </c>
      <c r="F13" s="683" t="s">
        <v>171</v>
      </c>
      <c r="G13" s="684" t="s">
        <v>171</v>
      </c>
      <c r="I13" s="28"/>
    </row>
    <row r="14" spans="1:33" ht="16.5" x14ac:dyDescent="0.35">
      <c r="A14" s="680" t="str">
        <f>+'2-Input - IIFS Liqudity'!B77</f>
        <v>التمويل طويل الأجل (صكوك أو غيرها)</v>
      </c>
      <c r="B14" s="681">
        <f t="shared" si="0"/>
        <v>0</v>
      </c>
      <c r="C14" s="682">
        <f>IF(ISNUMBER($B$116*'2-Input - IIFS Liqudity'!I77),$B$116*'2-Input - IIFS Liqudity'!I77,"n.a.")</f>
        <v>0</v>
      </c>
      <c r="D14" s="683">
        <f>IF(ISNUMBER($B$116*'2-Input - IIFS Liqudity'!J77),$B$116*'2-Input - IIFS Liqudity'!J77,"n.a.")</f>
        <v>0</v>
      </c>
      <c r="E14" s="683">
        <f>IF(ISNUMBER($B$116*'2-Input - IIFS Liqudity'!K77),$B$116*'2-Input - IIFS Liqudity'!K77,"n.a.")</f>
        <v>0</v>
      </c>
      <c r="F14" s="683">
        <f>IF(ISNUMBER($B$116*'2-Input - IIFS Liqudity'!L77),$B$116*'2-Input - IIFS Liqudity'!L77,"n.a.")</f>
        <v>0</v>
      </c>
      <c r="G14" s="684">
        <f>IF(ISNUMBER($B$116*'2-Input - IIFS Liqudity'!M77),$B$116*'2-Input - IIFS Liqudity'!M77,"n.a.")</f>
        <v>0</v>
      </c>
      <c r="H14"/>
      <c r="I14"/>
      <c r="J14"/>
      <c r="K14"/>
      <c r="L14"/>
      <c r="M14"/>
      <c r="N14"/>
      <c r="O14"/>
      <c r="P14"/>
      <c r="Q14"/>
      <c r="R14"/>
    </row>
    <row r="15" spans="1:33" s="25" customFormat="1" ht="16.5" x14ac:dyDescent="0.35">
      <c r="A15" s="680" t="s">
        <v>92</v>
      </c>
      <c r="B15" s="681">
        <f t="shared" si="0"/>
        <v>0</v>
      </c>
      <c r="C15" s="682">
        <f>IF(ISNUMBER($B$123*'2-Input - IIFS Liqudity'!I86),$B$123*'2-Input - IIFS Liqudity'!I86,"n.a.")</f>
        <v>0</v>
      </c>
      <c r="D15" s="683">
        <f>IF(ISNUMBER($B$123*'2-Input - IIFS Liqudity'!J86),$B$123*'2-Input - IIFS Liqudity'!J86,"n.a.")</f>
        <v>0</v>
      </c>
      <c r="E15" s="683">
        <f>IF(ISNUMBER($B$123*'2-Input - IIFS Liqudity'!K86),$B$123*'2-Input - IIFS Liqudity'!K86,"n.a.")</f>
        <v>0</v>
      </c>
      <c r="F15" s="683">
        <f>IF(ISNUMBER($B$123*'2-Input - IIFS Liqudity'!L86),$B$123*'2-Input - IIFS Liqudity'!L86,"n.a.")</f>
        <v>0</v>
      </c>
      <c r="G15" s="684">
        <f>IF(ISNUMBER($B$123*'2-Input - IIFS Liqudity'!M86),$B$123*'2-Input - IIFS Liqudity'!M86,"n.a.")</f>
        <v>0</v>
      </c>
      <c r="H15"/>
      <c r="I15"/>
      <c r="J15"/>
      <c r="K15"/>
      <c r="L15"/>
      <c r="M15"/>
      <c r="N15"/>
      <c r="O15"/>
      <c r="P15"/>
      <c r="Q15"/>
      <c r="R15"/>
      <c r="S15"/>
      <c r="T15"/>
      <c r="U15"/>
      <c r="V15"/>
      <c r="W15"/>
      <c r="X15"/>
      <c r="Y15"/>
      <c r="Z15"/>
      <c r="AA15"/>
      <c r="AB15"/>
      <c r="AC15"/>
      <c r="AD15"/>
      <c r="AE15"/>
      <c r="AF15"/>
      <c r="AG15"/>
    </row>
    <row r="16" spans="1:33" ht="15" customHeight="1" x14ac:dyDescent="0.35">
      <c r="A16" s="685" t="s">
        <v>393</v>
      </c>
      <c r="B16" s="686">
        <v>63571</v>
      </c>
      <c r="C16" s="687">
        <v>15888</v>
      </c>
      <c r="D16" s="688">
        <v>12396</v>
      </c>
      <c r="E16" s="688">
        <v>3764</v>
      </c>
      <c r="F16" s="688">
        <v>18016</v>
      </c>
      <c r="G16" s="689">
        <v>13508</v>
      </c>
      <c r="H16"/>
      <c r="I16"/>
      <c r="J16"/>
      <c r="K16"/>
      <c r="L16"/>
      <c r="M16"/>
      <c r="N16"/>
      <c r="O16"/>
      <c r="P16"/>
      <c r="Q16"/>
      <c r="R16"/>
      <c r="S16"/>
      <c r="T16"/>
      <c r="U16"/>
      <c r="V16"/>
      <c r="W16"/>
      <c r="X16"/>
      <c r="Y16"/>
      <c r="Z16"/>
      <c r="AA16"/>
      <c r="AB16"/>
      <c r="AC16"/>
      <c r="AD16"/>
      <c r="AE16"/>
      <c r="AF16"/>
      <c r="AG16"/>
    </row>
    <row r="17" spans="1:29" ht="15" customHeight="1" x14ac:dyDescent="0.35">
      <c r="A17" s="799" t="s">
        <v>331</v>
      </c>
      <c r="B17" s="686">
        <f t="shared" si="0"/>
        <v>22285015.5</v>
      </c>
      <c r="C17" s="672">
        <f>SUMPRODUCT('2-Input - IIFS Liqudity'!I91:I103*'3-Assumptions'!$H$67:$H$79)</f>
        <v>4301737.8</v>
      </c>
      <c r="D17" s="673">
        <f>SUMPRODUCT('2-Input - IIFS Liqudity'!J91:J103*'3-Assumptions'!$H$67:$H$79)</f>
        <v>4705496.8000000007</v>
      </c>
      <c r="E17" s="673">
        <f>SUMPRODUCT('2-Input - IIFS Liqudity'!K91:K103*'3-Assumptions'!$H$67:$H$79)</f>
        <v>2970590.5</v>
      </c>
      <c r="F17" s="673">
        <f>SUMPRODUCT('2-Input - IIFS Liqudity'!L91:L103*'3-Assumptions'!$H$67:$H$79)</f>
        <v>4495354.5999999996</v>
      </c>
      <c r="G17" s="674">
        <f>SUMPRODUCT('2-Input - IIFS Liqudity'!M91:M103*'3-Assumptions'!$H$67:$H$79)</f>
        <v>5811835.8000000007</v>
      </c>
      <c r="H17"/>
      <c r="I17"/>
      <c r="J17"/>
      <c r="K17"/>
      <c r="L17"/>
      <c r="M17"/>
      <c r="N17"/>
      <c r="O17"/>
      <c r="P17"/>
      <c r="Q17"/>
      <c r="R17"/>
    </row>
    <row r="18" spans="1:29" ht="15" x14ac:dyDescent="0.35">
      <c r="A18" s="691"/>
      <c r="B18" s="692"/>
      <c r="C18" s="692"/>
      <c r="D18" s="692"/>
      <c r="E18" s="692"/>
      <c r="F18" s="692"/>
      <c r="G18" s="692"/>
    </row>
    <row r="19" spans="1:29" s="24" customFormat="1" ht="15" x14ac:dyDescent="0.2">
      <c r="A19" s="667" t="s">
        <v>162</v>
      </c>
      <c r="B19" s="668" t="s">
        <v>46</v>
      </c>
      <c r="C19" s="669" t="str">
        <f>+C8</f>
        <v>المؤسسة رقم 1</v>
      </c>
      <c r="D19" s="669" t="str">
        <f>+D8</f>
        <v>المؤسسة رقم 2</v>
      </c>
      <c r="E19" s="669" t="str">
        <f>+E8</f>
        <v>المؤسسة رقم 3</v>
      </c>
      <c r="F19" s="669" t="str">
        <f>+F8</f>
        <v>المؤسسة رقم 4</v>
      </c>
      <c r="G19" s="517" t="str">
        <f>+G8</f>
        <v>المؤسسة رقم 5</v>
      </c>
      <c r="H19" s="30"/>
      <c r="I19" s="30"/>
      <c r="J19" s="30"/>
      <c r="K19" s="30"/>
      <c r="L19" s="30"/>
      <c r="M19" s="30"/>
      <c r="N19" s="30"/>
      <c r="O19" s="30"/>
      <c r="P19" s="30"/>
      <c r="Q19" s="30"/>
      <c r="R19" s="30"/>
      <c r="S19" s="30"/>
      <c r="T19" s="30"/>
      <c r="U19" s="30"/>
      <c r="V19" s="30"/>
      <c r="W19" s="30"/>
      <c r="X19" s="30"/>
      <c r="Y19" s="30"/>
      <c r="Z19" s="30"/>
    </row>
    <row r="20" spans="1:29" ht="15" x14ac:dyDescent="0.35">
      <c r="A20" s="670" t="s">
        <v>251</v>
      </c>
      <c r="B20" s="671">
        <f t="shared" ref="B20:B26" si="1">SUM(C20:G20)</f>
        <v>2643398.7725674063</v>
      </c>
      <c r="C20" s="672">
        <f>SUM(C21:C27)</f>
        <v>449059.3082193099</v>
      </c>
      <c r="D20" s="673">
        <f>SUM(D21:D27)</f>
        <v>578885.12490502081</v>
      </c>
      <c r="E20" s="673">
        <f>SUM(E21:E27)</f>
        <v>688063.54429590818</v>
      </c>
      <c r="F20" s="673">
        <f>SUM(F21:F27)</f>
        <v>522853.14487578621</v>
      </c>
      <c r="G20" s="674">
        <f>SUM(G21:G27)</f>
        <v>404537.65027138102</v>
      </c>
    </row>
    <row r="21" spans="1:29" ht="15" x14ac:dyDescent="0.35">
      <c r="A21" s="675" t="str">
        <f t="shared" ref="A21:A26" si="2">A10</f>
        <v>إجمالي ودائع العملاء/الحسابات الاستثمارية المطلقة القائمة على المشاركة في الأرباح</v>
      </c>
      <c r="B21" s="676">
        <f t="shared" si="1"/>
        <v>2581734.7725674063</v>
      </c>
      <c r="C21" s="677">
        <f>$C$76*'2-Input - IIFS Liqudity'!I38</f>
        <v>433648.3082193099</v>
      </c>
      <c r="D21" s="678">
        <f>$C$76*'2-Input - IIFS Liqudity'!J38</f>
        <v>566860.12490502081</v>
      </c>
      <c r="E21" s="678">
        <f>$C$76*'2-Input - IIFS Liqudity'!K38</f>
        <v>684412.54429590818</v>
      </c>
      <c r="F21" s="678">
        <f>$C$76*'2-Input - IIFS Liqudity'!L38</f>
        <v>505378.14487578621</v>
      </c>
      <c r="G21" s="679">
        <f>$C$76*'2-Input - IIFS Liqudity'!M38</f>
        <v>391435.65027138102</v>
      </c>
    </row>
    <row r="22" spans="1:29" ht="15" x14ac:dyDescent="0.35">
      <c r="A22" s="680" t="str">
        <f t="shared" si="2"/>
        <v>التمويل قصير الأجل</v>
      </c>
      <c r="B22" s="681">
        <f t="shared" si="1"/>
        <v>0</v>
      </c>
      <c r="C22" s="682">
        <f>IF(ISNUMBER($C$104*'2-Input - IIFS Liqudity'!I63),$C$104*'2-Input - IIFS Liqudity'!I63,"n.a.")</f>
        <v>0</v>
      </c>
      <c r="D22" s="683">
        <v>0</v>
      </c>
      <c r="E22" s="683">
        <v>0</v>
      </c>
      <c r="F22" s="683">
        <v>0</v>
      </c>
      <c r="G22" s="684">
        <v>0</v>
      </c>
    </row>
    <row r="23" spans="1:29" ht="15" x14ac:dyDescent="0.35">
      <c r="A23" s="680" t="str">
        <f t="shared" si="2"/>
        <v>التمويل الممنوح من البنك المركزي</v>
      </c>
      <c r="B23" s="681">
        <f t="shared" si="1"/>
        <v>0</v>
      </c>
      <c r="C23" s="682" t="s">
        <v>171</v>
      </c>
      <c r="D23" s="683" t="s">
        <v>171</v>
      </c>
      <c r="E23" s="683" t="s">
        <v>171</v>
      </c>
      <c r="F23" s="683" t="s">
        <v>171</v>
      </c>
      <c r="G23" s="684" t="s">
        <v>171</v>
      </c>
    </row>
    <row r="24" spans="1:29" ht="15" x14ac:dyDescent="0.35">
      <c r="A24" s="680" t="str">
        <f t="shared" si="2"/>
        <v>التمويلات والالتزامات داخل المجموعة</v>
      </c>
      <c r="B24" s="681">
        <f t="shared" si="1"/>
        <v>0</v>
      </c>
      <c r="C24" s="682" t="s">
        <v>171</v>
      </c>
      <c r="D24" s="683" t="s">
        <v>171</v>
      </c>
      <c r="E24" s="683" t="s">
        <v>171</v>
      </c>
      <c r="F24" s="683" t="s">
        <v>171</v>
      </c>
      <c r="G24" s="684" t="s">
        <v>171</v>
      </c>
    </row>
    <row r="25" spans="1:29" ht="15" x14ac:dyDescent="0.35">
      <c r="A25" s="680" t="str">
        <f t="shared" si="2"/>
        <v>التمويل طويل الأجل (صكوك أو غيرها)</v>
      </c>
      <c r="B25" s="681">
        <f t="shared" si="1"/>
        <v>0</v>
      </c>
      <c r="C25" s="682">
        <f>IF(ISNUMBER($C$116*'2-Input - IIFS Liqudity'!I77),$C$116*'2-Input - IIFS Liqudity'!I77,"n.a.")</f>
        <v>0</v>
      </c>
      <c r="D25" s="683">
        <f>IF(ISNUMBER($C$116*'2-Input - IIFS Liqudity'!J77),$C$116*'2-Input - IIFS Liqudity'!J77,"n.a.")</f>
        <v>0</v>
      </c>
      <c r="E25" s="683">
        <f>IF(ISNUMBER($C$116*'2-Input - IIFS Liqudity'!K77),$C$116*'2-Input - IIFS Liqudity'!K77,"n.a.")</f>
        <v>0</v>
      </c>
      <c r="F25" s="683">
        <f>IF(ISNUMBER($C$116*'2-Input - IIFS Liqudity'!L77),$C$116*'2-Input - IIFS Liqudity'!L77,"n.a.")</f>
        <v>0</v>
      </c>
      <c r="G25" s="684">
        <f>IF(ISNUMBER($C$116*'2-Input - IIFS Liqudity'!M77),$C$116*'2-Input - IIFS Liqudity'!M77,"n.a.")</f>
        <v>0</v>
      </c>
    </row>
    <row r="26" spans="1:29" s="25" customFormat="1" ht="16.5" x14ac:dyDescent="0.35">
      <c r="A26" s="680" t="str">
        <f t="shared" si="2"/>
        <v>المطلوبات المحتملة</v>
      </c>
      <c r="B26" s="681">
        <f t="shared" si="1"/>
        <v>0</v>
      </c>
      <c r="C26" s="682">
        <f>IF(ISNUMBER($C$123*'2-Input - IIFS Liqudity'!I86),$C$123*'2-Input - IIFS Liqudity'!I86,"n.a.")</f>
        <v>0</v>
      </c>
      <c r="D26" s="683">
        <f>IF(ISNUMBER($C$123*'2-Input - IIFS Liqudity'!J86),$C$123*'2-Input - IIFS Liqudity'!J86,"n.a.")</f>
        <v>0</v>
      </c>
      <c r="E26" s="683">
        <f>IF(ISNUMBER($C$123*'2-Input - IIFS Liqudity'!K86),$C$123*'2-Input - IIFS Liqudity'!K86,"n.a.")</f>
        <v>0</v>
      </c>
      <c r="F26" s="683">
        <f>IF(ISNUMBER($C$123*'2-Input - IIFS Liqudity'!L86),$C$123*'2-Input - IIFS Liqudity'!L86,"n.a.")</f>
        <v>0</v>
      </c>
      <c r="G26" s="684">
        <f>IF(ISNUMBER($C$123*'2-Input - IIFS Liqudity'!M86),$C$123*'2-Input - IIFS Liqudity'!M86,"n.a.")</f>
        <v>0</v>
      </c>
      <c r="H26"/>
      <c r="I26"/>
      <c r="J26"/>
      <c r="K26"/>
      <c r="L26"/>
      <c r="M26"/>
      <c r="N26"/>
      <c r="O26"/>
      <c r="P26"/>
      <c r="Q26"/>
      <c r="R26"/>
      <c r="S26"/>
      <c r="T26"/>
      <c r="U26"/>
      <c r="V26"/>
      <c r="W26"/>
      <c r="X26"/>
      <c r="Y26"/>
      <c r="Z26"/>
      <c r="AA26"/>
      <c r="AB26"/>
      <c r="AC26"/>
    </row>
    <row r="27" spans="1:29" ht="16.5" x14ac:dyDescent="0.35">
      <c r="A27" s="685" t="s">
        <v>393</v>
      </c>
      <c r="B27" s="686">
        <v>61664</v>
      </c>
      <c r="C27" s="687">
        <v>15411</v>
      </c>
      <c r="D27" s="688">
        <v>12025</v>
      </c>
      <c r="E27" s="688">
        <v>3651</v>
      </c>
      <c r="F27" s="688">
        <v>17475</v>
      </c>
      <c r="G27" s="689">
        <v>13102</v>
      </c>
      <c r="H27"/>
      <c r="I27"/>
      <c r="J27"/>
      <c r="K27"/>
      <c r="L27"/>
      <c r="M27"/>
      <c r="N27"/>
      <c r="O27"/>
      <c r="P27"/>
      <c r="Q27"/>
      <c r="R27"/>
      <c r="S27"/>
      <c r="T27"/>
      <c r="U27"/>
      <c r="V27"/>
      <c r="W27"/>
      <c r="X27"/>
      <c r="Y27"/>
      <c r="Z27"/>
      <c r="AA27"/>
      <c r="AB27"/>
      <c r="AC27"/>
    </row>
    <row r="28" spans="1:29" ht="16.5" x14ac:dyDescent="0.35">
      <c r="A28" s="691"/>
      <c r="B28" s="692"/>
      <c r="C28" s="692"/>
      <c r="D28" s="692"/>
      <c r="E28" s="692"/>
      <c r="F28" s="692"/>
      <c r="G28" s="692"/>
      <c r="H28"/>
      <c r="I28"/>
      <c r="J28"/>
      <c r="K28"/>
      <c r="L28"/>
      <c r="M28"/>
      <c r="N28"/>
      <c r="O28"/>
      <c r="P28"/>
      <c r="Q28"/>
      <c r="R28"/>
      <c r="S28"/>
      <c r="T28"/>
      <c r="U28"/>
      <c r="V28"/>
      <c r="W28"/>
      <c r="X28"/>
      <c r="Y28"/>
      <c r="Z28"/>
      <c r="AA28"/>
      <c r="AB28"/>
      <c r="AC28"/>
    </row>
    <row r="29" spans="1:29" ht="15" x14ac:dyDescent="0.25">
      <c r="A29" s="667" t="s">
        <v>163</v>
      </c>
      <c r="B29" s="668" t="s">
        <v>46</v>
      </c>
      <c r="C29" s="669" t="str">
        <f>+C8</f>
        <v>المؤسسة رقم 1</v>
      </c>
      <c r="D29" s="669" t="str">
        <f>+D8</f>
        <v>المؤسسة رقم 2</v>
      </c>
      <c r="E29" s="669" t="str">
        <f>+E8</f>
        <v>المؤسسة رقم 3</v>
      </c>
      <c r="F29" s="669" t="str">
        <f>+F8</f>
        <v>المؤسسة رقم 4</v>
      </c>
      <c r="G29" s="517" t="str">
        <f>+G8</f>
        <v>المؤسسة رقم 5</v>
      </c>
      <c r="R29"/>
      <c r="S29"/>
      <c r="T29"/>
      <c r="U29"/>
      <c r="V29"/>
      <c r="W29"/>
      <c r="X29"/>
      <c r="Y29"/>
      <c r="Z29"/>
      <c r="AA29"/>
      <c r="AB29"/>
      <c r="AC29"/>
    </row>
    <row r="30" spans="1:29" ht="15" x14ac:dyDescent="0.35">
      <c r="A30" s="670" t="s">
        <v>251</v>
      </c>
      <c r="B30" s="671">
        <f t="shared" ref="B30:B36" si="3">SUM(C30:G30)</f>
        <v>2474006.190927905</v>
      </c>
      <c r="C30" s="672">
        <f>SUM(C31:C37)</f>
        <v>420455.54948612524</v>
      </c>
      <c r="D30" s="673">
        <f>SUM(D31:D37)</f>
        <v>541737.53870560613</v>
      </c>
      <c r="E30" s="673">
        <f>SUM(E31:E37)</f>
        <v>643538.35269829712</v>
      </c>
      <c r="F30" s="673">
        <f>SUM(F31:F37)</f>
        <v>489532.4532882655</v>
      </c>
      <c r="G30" s="674">
        <f>SUM(G31:G37)</f>
        <v>378742.29674961086</v>
      </c>
    </row>
    <row r="31" spans="1:29" ht="15" x14ac:dyDescent="0.35">
      <c r="A31" s="675" t="str">
        <f t="shared" ref="A31:A37" si="4">A21</f>
        <v>إجمالي ودائع العملاء/الحسابات الاستثمارية المطلقة القائمة على المشاركة في الأرباح</v>
      </c>
      <c r="B31" s="676">
        <f t="shared" si="3"/>
        <v>2414192.190927905</v>
      </c>
      <c r="C31" s="677">
        <f>$D$76*'2-Input - IIFS Liqudity'!I38</f>
        <v>405506.54948612524</v>
      </c>
      <c r="D31" s="678">
        <f>$D$76*'2-Input - IIFS Liqudity'!J38</f>
        <v>530073.53870560613</v>
      </c>
      <c r="E31" s="678">
        <f>$D$76*'2-Input - IIFS Liqudity'!K38</f>
        <v>639997.35269829712</v>
      </c>
      <c r="F31" s="678">
        <f>$D$76*'2-Input - IIFS Liqudity'!L38</f>
        <v>472581.4532882655</v>
      </c>
      <c r="G31" s="679">
        <f>$D$76*'2-Input - IIFS Liqudity'!M38</f>
        <v>366033.29674961086</v>
      </c>
    </row>
    <row r="32" spans="1:29" ht="15" x14ac:dyDescent="0.35">
      <c r="A32" s="680" t="str">
        <f t="shared" si="4"/>
        <v>التمويل قصير الأجل</v>
      </c>
      <c r="B32" s="681">
        <f t="shared" si="3"/>
        <v>0</v>
      </c>
      <c r="C32" s="682">
        <f>IF(ISNUMBER($D$104*'2-Input - IIFS Liqudity'!I63),$B$104*'2-Input - IIFS Liqudity'!I63,"n.a.")</f>
        <v>0</v>
      </c>
      <c r="D32" s="683">
        <f>IF(ISNUMBER($D$104*'2-Input - IIFS Liqudity'!J63),$B$104*'2-Input - IIFS Liqudity'!J63,"n.a.")</f>
        <v>0</v>
      </c>
      <c r="E32" s="683">
        <f>IF(ISNUMBER($D$104*'2-Input - IIFS Liqudity'!K63),$B$104*'2-Input - IIFS Liqudity'!K63,"n.a.")</f>
        <v>0</v>
      </c>
      <c r="F32" s="683">
        <f>IF(ISNUMBER($D$104*'2-Input - IIFS Liqudity'!L63),$B$104*'2-Input - IIFS Liqudity'!L63,"n.a.")</f>
        <v>0</v>
      </c>
      <c r="G32" s="684">
        <f>IF(ISNUMBER($D$104*'2-Input - IIFS Liqudity'!M63),$B$104*'2-Input - IIFS Liqudity'!M63,"n.a.")</f>
        <v>0</v>
      </c>
    </row>
    <row r="33" spans="1:7" ht="15" x14ac:dyDescent="0.35">
      <c r="A33" s="680" t="str">
        <f t="shared" si="4"/>
        <v>التمويل الممنوح من البنك المركزي</v>
      </c>
      <c r="B33" s="681">
        <f t="shared" si="3"/>
        <v>0</v>
      </c>
      <c r="C33" s="682" t="s">
        <v>171</v>
      </c>
      <c r="D33" s="683" t="s">
        <v>171</v>
      </c>
      <c r="E33" s="683" t="s">
        <v>171</v>
      </c>
      <c r="F33" s="683" t="s">
        <v>171</v>
      </c>
      <c r="G33" s="684" t="s">
        <v>171</v>
      </c>
    </row>
    <row r="34" spans="1:7" ht="15" x14ac:dyDescent="0.35">
      <c r="A34" s="680" t="str">
        <f t="shared" si="4"/>
        <v>التمويلات والالتزامات داخل المجموعة</v>
      </c>
      <c r="B34" s="681">
        <f t="shared" si="3"/>
        <v>0</v>
      </c>
      <c r="C34" s="682" t="s">
        <v>171</v>
      </c>
      <c r="D34" s="683" t="s">
        <v>171</v>
      </c>
      <c r="E34" s="683" t="s">
        <v>171</v>
      </c>
      <c r="F34" s="683" t="s">
        <v>171</v>
      </c>
      <c r="G34" s="684" t="s">
        <v>171</v>
      </c>
    </row>
    <row r="35" spans="1:7" ht="15" x14ac:dyDescent="0.35">
      <c r="A35" s="680" t="str">
        <f t="shared" si="4"/>
        <v>التمويل طويل الأجل (صكوك أو غيرها)</v>
      </c>
      <c r="B35" s="681">
        <f t="shared" si="3"/>
        <v>0</v>
      </c>
      <c r="C35" s="682">
        <f>IF(ISNUMBER($D$116*'2-Input - IIFS Liqudity'!I77),$D$116*'2-Input - IIFS Liqudity'!I77,"n.a.")</f>
        <v>0</v>
      </c>
      <c r="D35" s="683">
        <f>IF(ISNUMBER($D$116*'2-Input - IIFS Liqudity'!J77),$D$116*'2-Input - IIFS Liqudity'!J77,"n.a.")</f>
        <v>0</v>
      </c>
      <c r="E35" s="683">
        <f>IF(ISNUMBER($D$116*'2-Input - IIFS Liqudity'!K77),$D$116*'2-Input - IIFS Liqudity'!K77,"n.a.")</f>
        <v>0</v>
      </c>
      <c r="F35" s="683">
        <f>IF(ISNUMBER($D$116*'2-Input - IIFS Liqudity'!L77),$D$116*'2-Input - IIFS Liqudity'!L77,"n.a.")</f>
        <v>0</v>
      </c>
      <c r="G35" s="684">
        <f>IF(ISNUMBER($D$116*'2-Input - IIFS Liqudity'!M77),$D$116*'2-Input - IIFS Liqudity'!M77,"n.a.")</f>
        <v>0</v>
      </c>
    </row>
    <row r="36" spans="1:7" ht="15" x14ac:dyDescent="0.35">
      <c r="A36" s="680" t="str">
        <f t="shared" si="4"/>
        <v>المطلوبات المحتملة</v>
      </c>
      <c r="B36" s="681">
        <f t="shared" si="3"/>
        <v>0</v>
      </c>
      <c r="C36" s="682">
        <f>IF(ISNUMBER($D$123*'2-Input - IIFS Liqudity'!I86),$D$123*'2-Input - IIFS Liqudity'!I86,"n.a.")</f>
        <v>0</v>
      </c>
      <c r="D36" s="683">
        <f>IF(ISNUMBER($D$123*'2-Input - IIFS Liqudity'!J86),$D$123*'2-Input - IIFS Liqudity'!J86,"n.a.")</f>
        <v>0</v>
      </c>
      <c r="E36" s="683">
        <f>IF(ISNUMBER($D$123*'2-Input - IIFS Liqudity'!K86),$D$123*'2-Input - IIFS Liqudity'!K86,"n.a.")</f>
        <v>0</v>
      </c>
      <c r="F36" s="683">
        <f>IF(ISNUMBER($D$123*'2-Input - IIFS Liqudity'!L86),$D$123*'2-Input - IIFS Liqudity'!L86,"n.a.")</f>
        <v>0</v>
      </c>
      <c r="G36" s="684">
        <f>IF(ISNUMBER($D$123*'2-Input - IIFS Liqudity'!M86),$D$123*'2-Input - IIFS Liqudity'!M86,"n.a.")</f>
        <v>0</v>
      </c>
    </row>
    <row r="37" spans="1:7" ht="15" x14ac:dyDescent="0.35">
      <c r="A37" s="685" t="str">
        <f t="shared" si="4"/>
        <v>الحسابات الاستثمارية المقيدة القائمة على المشاركة في الأرباح</v>
      </c>
      <c r="B37" s="686">
        <v>59814</v>
      </c>
      <c r="C37" s="687">
        <v>14949</v>
      </c>
      <c r="D37" s="688">
        <v>11664</v>
      </c>
      <c r="E37" s="688">
        <v>3541</v>
      </c>
      <c r="F37" s="688">
        <v>16951</v>
      </c>
      <c r="G37" s="689">
        <v>12709</v>
      </c>
    </row>
    <row r="38" spans="1:7" ht="15" x14ac:dyDescent="0.35">
      <c r="A38" s="691"/>
      <c r="B38" s="692"/>
      <c r="C38" s="692"/>
      <c r="D38" s="692"/>
      <c r="E38" s="692"/>
      <c r="F38" s="692"/>
      <c r="G38" s="692"/>
    </row>
    <row r="39" spans="1:7" ht="15" x14ac:dyDescent="0.2">
      <c r="A39" s="667" t="s">
        <v>164</v>
      </c>
      <c r="B39" s="668" t="s">
        <v>46</v>
      </c>
      <c r="C39" s="669" t="str">
        <f>+C8</f>
        <v>المؤسسة رقم 1</v>
      </c>
      <c r="D39" s="669" t="str">
        <f>+D8</f>
        <v>المؤسسة رقم 2</v>
      </c>
      <c r="E39" s="669" t="str">
        <f>+E8</f>
        <v>المؤسسة رقم 3</v>
      </c>
      <c r="F39" s="669" t="str">
        <f>+F8</f>
        <v>المؤسسة رقم 4</v>
      </c>
      <c r="G39" s="517" t="str">
        <f>+G8</f>
        <v>المؤسسة رقم 5</v>
      </c>
    </row>
    <row r="40" spans="1:7" ht="15" x14ac:dyDescent="0.35">
      <c r="A40" s="670" t="s">
        <v>251</v>
      </c>
      <c r="B40" s="671">
        <f t="shared" ref="B40:B46" si="5">SUM(C40:G40)</f>
        <v>2317413.1439226693</v>
      </c>
      <c r="C40" s="672">
        <f>SUM(C41:C47)</f>
        <v>394006.29422122985</v>
      </c>
      <c r="D40" s="673">
        <f>SUM(D41:D47)</f>
        <v>507398.99423815735</v>
      </c>
      <c r="E40" s="673">
        <f>SUM(E41:E47)</f>
        <v>602395.44575449184</v>
      </c>
      <c r="F40" s="673">
        <f>SUM(F41:F47)</f>
        <v>458721.32619321632</v>
      </c>
      <c r="G40" s="674">
        <f>SUM(G41:G47)</f>
        <v>354891.08351557411</v>
      </c>
    </row>
    <row r="41" spans="1:7" ht="15" x14ac:dyDescent="0.35">
      <c r="A41" s="675" t="str">
        <f t="shared" ref="A41:A47" si="6">A31</f>
        <v>إجمالي ودائع العملاء/الحسابات الاستثمارية المطلقة القائمة على المشاركة في الأرباح</v>
      </c>
      <c r="B41" s="676">
        <f t="shared" si="5"/>
        <v>2259393.1439226693</v>
      </c>
      <c r="C41" s="677">
        <f>$E$76*'2-Input - IIFS Liqudity'!I38</f>
        <v>379505.29422122985</v>
      </c>
      <c r="D41" s="678">
        <f>$E$76*'2-Input - IIFS Liqudity'!J38</f>
        <v>496084.99423815735</v>
      </c>
      <c r="E41" s="678">
        <f>$E$76*'2-Input - IIFS Liqudity'!K38</f>
        <v>598960.44575449184</v>
      </c>
      <c r="F41" s="678">
        <f>$E$76*'2-Input - IIFS Liqudity'!L38</f>
        <v>442279.32619321632</v>
      </c>
      <c r="G41" s="679">
        <f>$E$76*'2-Input - IIFS Liqudity'!M38</f>
        <v>342563.08351557411</v>
      </c>
    </row>
    <row r="42" spans="1:7" ht="15" x14ac:dyDescent="0.35">
      <c r="A42" s="680" t="str">
        <f t="shared" si="6"/>
        <v>التمويل قصير الأجل</v>
      </c>
      <c r="B42" s="681">
        <f t="shared" si="5"/>
        <v>0</v>
      </c>
      <c r="C42" s="682">
        <f>IF(ISNUMBER($E$104*'2-Input - IIFS Liqudity'!I63),$E$104*'2-Input - IIFS Liqudity'!I63,"n.a.")</f>
        <v>0</v>
      </c>
      <c r="D42" s="683">
        <f>IF(ISNUMBER($E$104*'2-Input - IIFS Liqudity'!J63),$E$104*'2-Input - IIFS Liqudity'!J63,"n.a.")</f>
        <v>0</v>
      </c>
      <c r="E42" s="683">
        <f>IF(ISNUMBER($E$104*'2-Input - IIFS Liqudity'!K63),$E$104*'2-Input - IIFS Liqudity'!K63,"n.a.")</f>
        <v>0</v>
      </c>
      <c r="F42" s="683">
        <f>IF(ISNUMBER($E$104*'2-Input - IIFS Liqudity'!L63),$E$104*'2-Input - IIFS Liqudity'!L63,"n.a.")</f>
        <v>0</v>
      </c>
      <c r="G42" s="684">
        <f>IF(ISNUMBER($E$104*'2-Input - IIFS Liqudity'!M63),$E$104*'2-Input - IIFS Liqudity'!M63,"n.a.")</f>
        <v>0</v>
      </c>
    </row>
    <row r="43" spans="1:7" ht="15" x14ac:dyDescent="0.35">
      <c r="A43" s="680" t="str">
        <f t="shared" si="6"/>
        <v>التمويل الممنوح من البنك المركزي</v>
      </c>
      <c r="B43" s="681">
        <f t="shared" si="5"/>
        <v>0</v>
      </c>
      <c r="C43" s="682" t="s">
        <v>171</v>
      </c>
      <c r="D43" s="683" t="s">
        <v>171</v>
      </c>
      <c r="E43" s="683" t="s">
        <v>171</v>
      </c>
      <c r="F43" s="683" t="s">
        <v>171</v>
      </c>
      <c r="G43" s="684" t="s">
        <v>171</v>
      </c>
    </row>
    <row r="44" spans="1:7" ht="15" x14ac:dyDescent="0.35">
      <c r="A44" s="680" t="str">
        <f t="shared" si="6"/>
        <v>التمويلات والالتزامات داخل المجموعة</v>
      </c>
      <c r="B44" s="681">
        <f t="shared" si="5"/>
        <v>0</v>
      </c>
      <c r="C44" s="682" t="s">
        <v>171</v>
      </c>
      <c r="D44" s="683" t="s">
        <v>171</v>
      </c>
      <c r="E44" s="683" t="s">
        <v>171</v>
      </c>
      <c r="F44" s="683" t="s">
        <v>171</v>
      </c>
      <c r="G44" s="684" t="s">
        <v>171</v>
      </c>
    </row>
    <row r="45" spans="1:7" ht="15" x14ac:dyDescent="0.35">
      <c r="A45" s="680" t="str">
        <f t="shared" si="6"/>
        <v>التمويل طويل الأجل (صكوك أو غيرها)</v>
      </c>
      <c r="B45" s="681">
        <f t="shared" si="5"/>
        <v>0</v>
      </c>
      <c r="C45" s="682">
        <f>IF(ISNUMBER($E$116*'2-Input - IIFS Liqudity'!I77),$E$116*'2-Input - IIFS Liqudity'!I77,"n.a.")</f>
        <v>0</v>
      </c>
      <c r="D45" s="683">
        <f>IF(ISNUMBER($E$116*'2-Input - IIFS Liqudity'!J77),$E$116*'2-Input - IIFS Liqudity'!J77,"n.a.")</f>
        <v>0</v>
      </c>
      <c r="E45" s="683">
        <f>IF(ISNUMBER($E$116*'2-Input - IIFS Liqudity'!K77),$E$116*'2-Input - IIFS Liqudity'!K77,"n.a.")</f>
        <v>0</v>
      </c>
      <c r="F45" s="683">
        <f>IF(ISNUMBER($E$116*'2-Input - IIFS Liqudity'!L77),$E$116*'2-Input - IIFS Liqudity'!L77,"n.a.")</f>
        <v>0</v>
      </c>
      <c r="G45" s="684">
        <f>IF(ISNUMBER($E$116*'2-Input - IIFS Liqudity'!M77),$E$116*'2-Input - IIFS Liqudity'!M77,"n.a.")</f>
        <v>0</v>
      </c>
    </row>
    <row r="46" spans="1:7" ht="17.25" customHeight="1" x14ac:dyDescent="0.35">
      <c r="A46" s="680" t="str">
        <f t="shared" si="6"/>
        <v>المطلوبات المحتملة</v>
      </c>
      <c r="B46" s="681">
        <f t="shared" si="5"/>
        <v>0</v>
      </c>
      <c r="C46" s="682">
        <f>IF(ISNUMBER($E$123*'2-Input - IIFS Liqudity'!I86),$E$123*'2-Input - IIFS Liqudity'!I86,"n.a.")</f>
        <v>0</v>
      </c>
      <c r="D46" s="683">
        <f>IF(ISNUMBER($E$123*'2-Input - IIFS Liqudity'!J86),$E$123*'2-Input - IIFS Liqudity'!J86,"n.a.")</f>
        <v>0</v>
      </c>
      <c r="E46" s="683">
        <f>IF(ISNUMBER($E$123*'2-Input - IIFS Liqudity'!K86),$E$123*'2-Input - IIFS Liqudity'!K86,"n.a.")</f>
        <v>0</v>
      </c>
      <c r="F46" s="683">
        <f>IF(ISNUMBER($E$123*'2-Input - IIFS Liqudity'!L86),$E$123*'2-Input - IIFS Liqudity'!L86,"n.a.")</f>
        <v>0</v>
      </c>
      <c r="G46" s="684">
        <f>IF(ISNUMBER($E$123*'2-Input - IIFS Liqudity'!M86),$E$123*'2-Input - IIFS Liqudity'!M86,"n.a.")</f>
        <v>0</v>
      </c>
    </row>
    <row r="47" spans="1:7" ht="17.25" customHeight="1" x14ac:dyDescent="0.35">
      <c r="A47" s="685" t="str">
        <f t="shared" si="6"/>
        <v>الحسابات الاستثمارية المقيدة القائمة على المشاركة في الأرباح</v>
      </c>
      <c r="B47" s="686">
        <v>58020</v>
      </c>
      <c r="C47" s="687">
        <v>14501</v>
      </c>
      <c r="D47" s="688">
        <v>11314</v>
      </c>
      <c r="E47" s="688">
        <v>3435</v>
      </c>
      <c r="F47" s="688">
        <v>16442</v>
      </c>
      <c r="G47" s="689">
        <v>12328</v>
      </c>
    </row>
    <row r="48" spans="1:7" ht="15" x14ac:dyDescent="0.35">
      <c r="A48" s="691"/>
      <c r="B48" s="692"/>
      <c r="C48" s="692"/>
      <c r="D48" s="692"/>
      <c r="E48" s="692"/>
      <c r="F48" s="692"/>
      <c r="G48" s="692"/>
    </row>
    <row r="49" spans="1:7" ht="15" x14ac:dyDescent="0.2">
      <c r="A49" s="667" t="s">
        <v>165</v>
      </c>
      <c r="B49" s="668" t="s">
        <v>46</v>
      </c>
      <c r="C49" s="669" t="str">
        <f>+C8</f>
        <v>المؤسسة رقم 1</v>
      </c>
      <c r="D49" s="669" t="str">
        <f>+D8</f>
        <v>المؤسسة رقم 2</v>
      </c>
      <c r="E49" s="669" t="str">
        <f>+E8</f>
        <v>المؤسسة رقم 3</v>
      </c>
      <c r="F49" s="669" t="str">
        <f>+F8</f>
        <v>المؤسسة رقم 4</v>
      </c>
      <c r="G49" s="517" t="str">
        <f>+G8</f>
        <v>المؤسسة رقم 5</v>
      </c>
    </row>
    <row r="50" spans="1:7" ht="15" x14ac:dyDescent="0.35">
      <c r="A50" s="670" t="s">
        <v>251</v>
      </c>
      <c r="B50" s="671">
        <f t="shared" ref="B50:B56" si="7">SUM(C50:G50)</f>
        <v>2172540.1075938335</v>
      </c>
      <c r="C50" s="672">
        <f>SUM(C51:C57)</f>
        <v>369529.72106448765</v>
      </c>
      <c r="D50" s="673">
        <f>SUM(D51:D57)</f>
        <v>475632.12388207181</v>
      </c>
      <c r="E50" s="673">
        <f>SUM(E51:E57)</f>
        <v>564348.4391915499</v>
      </c>
      <c r="F50" s="673">
        <f>SUM(F51:F57)</f>
        <v>430210.03254013654</v>
      </c>
      <c r="G50" s="674">
        <f>SUM(G51:G57)</f>
        <v>332819.79091558763</v>
      </c>
    </row>
    <row r="51" spans="1:7" ht="15" x14ac:dyDescent="0.35">
      <c r="A51" s="675" t="str">
        <f t="shared" ref="A51:A57" si="8">A41</f>
        <v>إجمالي ودائع العملاء/الحسابات الاستثمارية المطلقة القائمة على المشاركة في الأرباح</v>
      </c>
      <c r="B51" s="676">
        <f t="shared" si="7"/>
        <v>2116261.1075938335</v>
      </c>
      <c r="C51" s="677">
        <f>$F$76*'2-Input - IIFS Liqudity'!I38</f>
        <v>355463.72106448765</v>
      </c>
      <c r="D51" s="678">
        <f>$F$76*'2-Input - IIFS Liqudity'!J38</f>
        <v>464658.12388207181</v>
      </c>
      <c r="E51" s="678">
        <f>$F$76*'2-Input - IIFS Liqudity'!K38</f>
        <v>561016.4391915499</v>
      </c>
      <c r="F51" s="678">
        <f>$F$76*'2-Input - IIFS Liqudity'!L38</f>
        <v>414261.03254013654</v>
      </c>
      <c r="G51" s="679">
        <f>$F$76*'2-Input - IIFS Liqudity'!M38</f>
        <v>320861.79091558763</v>
      </c>
    </row>
    <row r="52" spans="1:7" ht="15" x14ac:dyDescent="0.35">
      <c r="A52" s="680" t="str">
        <f t="shared" si="8"/>
        <v>التمويل قصير الأجل</v>
      </c>
      <c r="B52" s="681">
        <f t="shared" si="7"/>
        <v>0</v>
      </c>
      <c r="C52" s="682">
        <f>IF(ISNUMBER($F$104*'2-Input - IIFS Liqudity'!I63),$F$104*'2-Input - IIFS Liqudity'!I63,"n.a.")</f>
        <v>0</v>
      </c>
      <c r="D52" s="683">
        <f>IF(ISNUMBER($F$104*'2-Input - IIFS Liqudity'!J63),$F$104*'2-Input - IIFS Liqudity'!J63,"n.a.")</f>
        <v>0</v>
      </c>
      <c r="E52" s="683">
        <f>IF(ISNUMBER($F$104*'2-Input - IIFS Liqudity'!K63),$F$104*'2-Input - IIFS Liqudity'!K63,"n.a.")</f>
        <v>0</v>
      </c>
      <c r="F52" s="683">
        <f>IF(ISNUMBER($F$104*'2-Input - IIFS Liqudity'!L63),$F$104*'2-Input - IIFS Liqudity'!L63,"n.a.")</f>
        <v>0</v>
      </c>
      <c r="G52" s="684">
        <f>IF(ISNUMBER($F$104*'2-Input - IIFS Liqudity'!M63),$F$104*'2-Input - IIFS Liqudity'!M63,"n.a.")</f>
        <v>0</v>
      </c>
    </row>
    <row r="53" spans="1:7" ht="15" x14ac:dyDescent="0.35">
      <c r="A53" s="680" t="str">
        <f t="shared" si="8"/>
        <v>التمويل الممنوح من البنك المركزي</v>
      </c>
      <c r="B53" s="681">
        <f t="shared" si="7"/>
        <v>0</v>
      </c>
      <c r="C53" s="682" t="s">
        <v>171</v>
      </c>
      <c r="D53" s="683" t="s">
        <v>171</v>
      </c>
      <c r="E53" s="683" t="s">
        <v>171</v>
      </c>
      <c r="F53" s="683" t="s">
        <v>171</v>
      </c>
      <c r="G53" s="684" t="s">
        <v>171</v>
      </c>
    </row>
    <row r="54" spans="1:7" ht="15" x14ac:dyDescent="0.35">
      <c r="A54" s="680" t="str">
        <f t="shared" si="8"/>
        <v>التمويلات والالتزامات داخل المجموعة</v>
      </c>
      <c r="B54" s="681">
        <f t="shared" si="7"/>
        <v>0</v>
      </c>
      <c r="C54" s="682" t="s">
        <v>171</v>
      </c>
      <c r="D54" s="683" t="s">
        <v>171</v>
      </c>
      <c r="E54" s="683" t="s">
        <v>171</v>
      </c>
      <c r="F54" s="683" t="s">
        <v>171</v>
      </c>
      <c r="G54" s="684" t="s">
        <v>171</v>
      </c>
    </row>
    <row r="55" spans="1:7" ht="15" x14ac:dyDescent="0.35">
      <c r="A55" s="680" t="str">
        <f t="shared" si="8"/>
        <v>التمويل طويل الأجل (صكوك أو غيرها)</v>
      </c>
      <c r="B55" s="681">
        <f t="shared" si="7"/>
        <v>0</v>
      </c>
      <c r="C55" s="682">
        <f>IF(ISNUMBER($F$116*'2-Input - IIFS Liqudity'!I77),$F$116*'2-Input - IIFS Liqudity'!I77,"n.a.")</f>
        <v>0</v>
      </c>
      <c r="D55" s="683">
        <f>IF(ISNUMBER($F$116*'2-Input - IIFS Liqudity'!J77),$F$116*'2-Input - IIFS Liqudity'!J77,"n.a.")</f>
        <v>0</v>
      </c>
      <c r="E55" s="683">
        <f>IF(ISNUMBER($F$116*'2-Input - IIFS Liqudity'!K77),$F$116*'2-Input - IIFS Liqudity'!K77,"n.a.")</f>
        <v>0</v>
      </c>
      <c r="F55" s="683">
        <f>IF(ISNUMBER($F$116*'2-Input - IIFS Liqudity'!L77),$F$116*'2-Input - IIFS Liqudity'!L77,"n.a.")</f>
        <v>0</v>
      </c>
      <c r="G55" s="684">
        <f>IF(ISNUMBER($F$116*'2-Input - IIFS Liqudity'!M77),$F$116*'2-Input - IIFS Liqudity'!M77,"n.a.")</f>
        <v>0</v>
      </c>
    </row>
    <row r="56" spans="1:7" ht="15" x14ac:dyDescent="0.35">
      <c r="A56" s="680" t="str">
        <f t="shared" si="8"/>
        <v>المطلوبات المحتملة</v>
      </c>
      <c r="B56" s="681">
        <f t="shared" si="7"/>
        <v>0</v>
      </c>
      <c r="C56" s="682">
        <f>IF(ISNUMBER($F$123*'2-Input - IIFS Liqudity'!I86),$F$123*'2-Input - IIFS Liqudity'!I86,"n.a.")</f>
        <v>0</v>
      </c>
      <c r="D56" s="683">
        <f>IF(ISNUMBER($F$123*'2-Input - IIFS Liqudity'!J86),$F$123*'2-Input - IIFS Liqudity'!J86,"n.a.")</f>
        <v>0</v>
      </c>
      <c r="E56" s="683">
        <f>IF(ISNUMBER($F$123*'2-Input - IIFS Liqudity'!K86),$F$123*'2-Input - IIFS Liqudity'!K86,"n.a.")</f>
        <v>0</v>
      </c>
      <c r="F56" s="683">
        <f>IF(ISNUMBER($F$123*'2-Input - IIFS Liqudity'!L86),$F$123*'2-Input - IIFS Liqudity'!L86,"n.a.")</f>
        <v>0</v>
      </c>
      <c r="G56" s="684">
        <f>IF(ISNUMBER($F$123*'2-Input - IIFS Liqudity'!M86),$F$123*'2-Input - IIFS Liqudity'!M86,"n.a.")</f>
        <v>0</v>
      </c>
    </row>
    <row r="57" spans="1:7" ht="15" x14ac:dyDescent="0.35">
      <c r="A57" s="685" t="str">
        <f t="shared" si="8"/>
        <v>الحسابات الاستثمارية المقيدة القائمة على المشاركة في الأرباح</v>
      </c>
      <c r="B57" s="686">
        <v>56279</v>
      </c>
      <c r="C57" s="687">
        <v>14066</v>
      </c>
      <c r="D57" s="688">
        <v>10974</v>
      </c>
      <c r="E57" s="688">
        <v>3332</v>
      </c>
      <c r="F57" s="688">
        <v>15949</v>
      </c>
      <c r="G57" s="689">
        <v>11958</v>
      </c>
    </row>
    <row r="58" spans="1:7" ht="15" x14ac:dyDescent="0.35">
      <c r="A58" s="691"/>
      <c r="B58" s="692"/>
      <c r="C58" s="692"/>
      <c r="D58" s="692"/>
      <c r="E58" s="692"/>
      <c r="F58" s="692"/>
      <c r="G58" s="692"/>
    </row>
    <row r="59" spans="1:7" ht="15" x14ac:dyDescent="0.35">
      <c r="A59" s="693" t="s">
        <v>252</v>
      </c>
      <c r="B59" s="694">
        <v>0.25</v>
      </c>
      <c r="C59" s="694">
        <v>0.5</v>
      </c>
      <c r="D59" s="694">
        <v>0.75</v>
      </c>
      <c r="E59" s="694">
        <v>1</v>
      </c>
      <c r="F59" s="692"/>
      <c r="G59" s="692"/>
    </row>
    <row r="60" spans="1:7" ht="15" x14ac:dyDescent="0.35">
      <c r="A60" s="693" t="s">
        <v>332</v>
      </c>
      <c r="B60" s="695">
        <f>PERCENTILE('2-Input - IIFS Liqudity'!$I$90:$M$90,'5-Calculation'!B59)</f>
        <v>16294449.189397499</v>
      </c>
      <c r="C60" s="695">
        <f>PERCENTILE('2-Input - IIFS Liqudity'!$I$90:$M$90,'5-Calculation'!C59)</f>
        <v>16447157.782196999</v>
      </c>
      <c r="D60" s="695">
        <f>PERCENTILE('2-Input - IIFS Liqudity'!$I$90:$M$90,'5-Calculation'!D59)</f>
        <v>16545896.7205882</v>
      </c>
      <c r="E60" s="695">
        <f>PERCENTILE('2-Input - IIFS Liqudity'!$I$90:$M$90,'5-Calculation'!E59)</f>
        <v>16849328.640699401</v>
      </c>
      <c r="F60" s="692"/>
      <c r="G60" s="692"/>
    </row>
    <row r="61" spans="1:7" ht="15" x14ac:dyDescent="0.35">
      <c r="A61" s="693" t="s">
        <v>263</v>
      </c>
      <c r="B61" s="695">
        <f>SUMIF('2-Input - IIFS Liqudity'!$I$90:$M$90,"&lt;" &amp; B60)</f>
        <v>15947302.0410292</v>
      </c>
      <c r="C61" s="695">
        <f>SUMIF('2-Input - IIFS Liqudity'!$I$90:$M$90,"&lt;" &amp; C60)</f>
        <v>32241751.230426699</v>
      </c>
      <c r="D61" s="695">
        <f>SUMIF('2-Input - IIFS Liqudity'!$I$90:$M$90,"&lt;" &amp; D60)</f>
        <v>48688909.012623698</v>
      </c>
      <c r="E61" s="695">
        <f>SUMIF('2-Input - IIFS Liqudity'!$I$90:$M$90,"&lt;" &amp; E60)</f>
        <v>65234805.733211897</v>
      </c>
      <c r="F61" s="692"/>
      <c r="G61" s="692"/>
    </row>
    <row r="62" spans="1:7" ht="15" x14ac:dyDescent="0.35">
      <c r="A62" s="691"/>
      <c r="B62" s="692"/>
      <c r="C62" s="692"/>
      <c r="D62" s="692"/>
      <c r="E62" s="692"/>
      <c r="F62" s="692"/>
      <c r="G62" s="692"/>
    </row>
    <row r="63" spans="1:7" s="45" customFormat="1" ht="15" x14ac:dyDescent="0.25">
      <c r="A63" s="667" t="s">
        <v>311</v>
      </c>
      <c r="B63" s="668" t="s">
        <v>160</v>
      </c>
      <c r="C63" s="669" t="s">
        <v>66</v>
      </c>
      <c r="D63" s="696" t="s">
        <v>67</v>
      </c>
      <c r="E63" s="696" t="s">
        <v>68</v>
      </c>
      <c r="F63" s="696" t="s">
        <v>69</v>
      </c>
      <c r="G63" s="828" t="s">
        <v>70</v>
      </c>
    </row>
    <row r="64" spans="1:7" s="45" customFormat="1" ht="16.5" x14ac:dyDescent="0.35">
      <c r="A64" s="670" t="s">
        <v>253</v>
      </c>
      <c r="B64" s="697">
        <f t="shared" ref="B64:B70" si="9">SUM(C64:G64)</f>
        <v>3755591.0483990158</v>
      </c>
      <c r="C64" s="672">
        <f>SUM(C65:C71)</f>
        <v>632554.95797263237</v>
      </c>
      <c r="D64" s="673">
        <f>SUM(D65:D71)</f>
        <v>824077.75909734063</v>
      </c>
      <c r="E64" s="673">
        <f>SUM(E65:E71)</f>
        <v>991236.7230264314</v>
      </c>
      <c r="F64" s="673">
        <f>SUM(F65:F71)</f>
        <v>737018.96345494129</v>
      </c>
      <c r="G64" s="674">
        <f>SUM(G65:G71)</f>
        <v>570702.64484766999</v>
      </c>
    </row>
    <row r="65" spans="1:9" s="45" customFormat="1" ht="16.5" x14ac:dyDescent="0.35">
      <c r="A65" s="675" t="str">
        <f t="shared" ref="A65:A71" si="10">+A10</f>
        <v>إجمالي ودائع العملاء/الحسابات الاستثمارية المطلقة القائمة على المشاركة في الأرباح</v>
      </c>
      <c r="B65" s="361">
        <f t="shared" si="9"/>
        <v>3734400.0483990158</v>
      </c>
      <c r="C65" s="698">
        <f>+$I$76*'2-Input - IIFS Liqudity'!I38</f>
        <v>627258.95797263237</v>
      </c>
      <c r="D65" s="699">
        <f>+$I$76*'2-Input - IIFS Liqudity'!J38</f>
        <v>819945.75909734063</v>
      </c>
      <c r="E65" s="699">
        <f>+$I$76*'2-Input - IIFS Liqudity'!K38</f>
        <v>989981.7230264314</v>
      </c>
      <c r="F65" s="699">
        <f>+$I$76*'2-Input - IIFS Liqudity'!L38</f>
        <v>731013.96345494129</v>
      </c>
      <c r="G65" s="700">
        <f>+$I$76*'2-Input - IIFS Liqudity'!M38</f>
        <v>566199.64484766999</v>
      </c>
    </row>
    <row r="66" spans="1:9" s="45" customFormat="1" ht="16.5" x14ac:dyDescent="0.35">
      <c r="A66" s="675" t="str">
        <f t="shared" si="10"/>
        <v>التمويل قصير الأجل</v>
      </c>
      <c r="B66" s="362">
        <f t="shared" si="9"/>
        <v>0</v>
      </c>
      <c r="C66" s="701">
        <f>+$I$104*'2-Input - IIFS Liqudity'!I63</f>
        <v>0</v>
      </c>
      <c r="D66" s="702">
        <f>+$I$104*'2-Input - IIFS Liqudity'!J63</f>
        <v>0</v>
      </c>
      <c r="E66" s="702">
        <f>+$I$104*'2-Input - IIFS Liqudity'!K63</f>
        <v>0</v>
      </c>
      <c r="F66" s="702">
        <f>+$I$104*'2-Input - IIFS Liqudity'!L63</f>
        <v>0</v>
      </c>
      <c r="G66" s="703">
        <f>+$I$104*'2-Input - IIFS Liqudity'!M63</f>
        <v>0</v>
      </c>
    </row>
    <row r="67" spans="1:9" s="45" customFormat="1" ht="16.5" x14ac:dyDescent="0.35">
      <c r="A67" s="675" t="str">
        <f t="shared" si="10"/>
        <v>التمويل الممنوح من البنك المركزي</v>
      </c>
      <c r="B67" s="362">
        <f t="shared" si="9"/>
        <v>0</v>
      </c>
      <c r="C67" s="701" t="s">
        <v>171</v>
      </c>
      <c r="D67" s="702" t="s">
        <v>171</v>
      </c>
      <c r="E67" s="702" t="s">
        <v>171</v>
      </c>
      <c r="F67" s="702" t="s">
        <v>171</v>
      </c>
      <c r="G67" s="703" t="s">
        <v>171</v>
      </c>
    </row>
    <row r="68" spans="1:9" s="45" customFormat="1" ht="16.5" x14ac:dyDescent="0.35">
      <c r="A68" s="675" t="str">
        <f t="shared" si="10"/>
        <v>التمويلات والالتزامات داخل المجموعة</v>
      </c>
      <c r="B68" s="362">
        <f t="shared" si="9"/>
        <v>0</v>
      </c>
      <c r="C68" s="701" t="s">
        <v>171</v>
      </c>
      <c r="D68" s="702" t="s">
        <v>171</v>
      </c>
      <c r="E68" s="702" t="s">
        <v>171</v>
      </c>
      <c r="F68" s="702" t="s">
        <v>171</v>
      </c>
      <c r="G68" s="703" t="s">
        <v>171</v>
      </c>
    </row>
    <row r="69" spans="1:9" s="45" customFormat="1" ht="16.5" x14ac:dyDescent="0.35">
      <c r="A69" s="675" t="str">
        <f t="shared" si="10"/>
        <v>التمويل طويل الأجل (صكوك أو غيرها)</v>
      </c>
      <c r="B69" s="362">
        <f t="shared" si="9"/>
        <v>0</v>
      </c>
      <c r="C69" s="701">
        <f>IF(ISNUMBER($I$116*'2-Input - IIFS Liqudity'!I91),$F$116*'2-Input - IIFS Liqudity'!I91,"n.a.")</f>
        <v>0</v>
      </c>
      <c r="D69" s="702">
        <f>IF(ISNUMBER($I$116*'2-Input - IIFS Liqudity'!J91),$F$116*'2-Input - IIFS Liqudity'!J91,"n.a.")</f>
        <v>0</v>
      </c>
      <c r="E69" s="702">
        <f>IF(ISNUMBER($I$116*'2-Input - IIFS Liqudity'!K91),$F$116*'2-Input - IIFS Liqudity'!K91,"n.a.")</f>
        <v>0</v>
      </c>
      <c r="F69" s="702">
        <f>IF(ISNUMBER($I$116*'2-Input - IIFS Liqudity'!L91),$F$116*'2-Input - IIFS Liqudity'!L91,"n.a.")</f>
        <v>0</v>
      </c>
      <c r="G69" s="703">
        <f>IF(ISNUMBER($I$116*'2-Input - IIFS Liqudity'!M91),$F$116*'2-Input - IIFS Liqudity'!M91,"n.a.")</f>
        <v>0</v>
      </c>
    </row>
    <row r="70" spans="1:9" s="45" customFormat="1" ht="16.5" x14ac:dyDescent="0.35">
      <c r="A70" s="675" t="str">
        <f t="shared" si="10"/>
        <v>المطلوبات المحتملة</v>
      </c>
      <c r="B70" s="362">
        <f t="shared" si="9"/>
        <v>0</v>
      </c>
      <c r="C70" s="701" t="s">
        <v>171</v>
      </c>
      <c r="D70" s="702" t="s">
        <v>171</v>
      </c>
      <c r="E70" s="702" t="s">
        <v>171</v>
      </c>
      <c r="F70" s="702" t="s">
        <v>171</v>
      </c>
      <c r="G70" s="703" t="s">
        <v>171</v>
      </c>
    </row>
    <row r="71" spans="1:9" s="45" customFormat="1" ht="16.5" x14ac:dyDescent="0.35">
      <c r="A71" s="704" t="str">
        <f t="shared" si="10"/>
        <v>الحسابات الاستثمارية المقيدة القائمة على المشاركة في الأرباح</v>
      </c>
      <c r="B71" s="363">
        <v>21190</v>
      </c>
      <c r="C71" s="705">
        <v>5296</v>
      </c>
      <c r="D71" s="706">
        <v>4132</v>
      </c>
      <c r="E71" s="706">
        <v>1255</v>
      </c>
      <c r="F71" s="706">
        <v>6005</v>
      </c>
      <c r="G71" s="707">
        <v>4503</v>
      </c>
    </row>
    <row r="72" spans="1:9" s="45" customFormat="1" ht="16.5" x14ac:dyDescent="0.35">
      <c r="A72" s="690" t="s">
        <v>254</v>
      </c>
      <c r="B72" s="708">
        <f>SUM(C72:G72)</f>
        <v>22285015.5</v>
      </c>
      <c r="C72" s="709">
        <f>SUMPRODUCT('2-Input - IIFS Liqudity'!I91:I103*'3-Assumptions'!$H$85:$H$97)</f>
        <v>4301737.8</v>
      </c>
      <c r="D72" s="710">
        <f>SUMPRODUCT('2-Input - IIFS Liqudity'!J91:J103*'3-Assumptions'!$H$85:$H$97)</f>
        <v>4705496.8000000007</v>
      </c>
      <c r="E72" s="710">
        <f>SUMPRODUCT('2-Input - IIFS Liqudity'!K91:K103*'3-Assumptions'!$H$85:$H$97)</f>
        <v>2970590.5</v>
      </c>
      <c r="F72" s="710">
        <f>SUMPRODUCT('2-Input - IIFS Liqudity'!L91:L103*'3-Assumptions'!$H$85:$H$97)</f>
        <v>4495354.5999999996</v>
      </c>
      <c r="G72" s="711">
        <f>SUMPRODUCT('2-Input - IIFS Liqudity'!M91:M103*'3-Assumptions'!$H$85:$H$97)</f>
        <v>5811835.8000000007</v>
      </c>
    </row>
    <row r="73" spans="1:9" ht="15.75" customHeight="1" x14ac:dyDescent="0.35">
      <c r="A73" s="691"/>
      <c r="B73" s="692"/>
      <c r="C73" s="692"/>
      <c r="D73" s="692"/>
      <c r="E73" s="692"/>
      <c r="F73" s="692"/>
      <c r="G73" s="692"/>
    </row>
    <row r="74" spans="1:9" ht="15" x14ac:dyDescent="0.35">
      <c r="A74" s="661"/>
      <c r="B74" s="1050" t="s">
        <v>10</v>
      </c>
      <c r="C74" s="1051"/>
      <c r="D74" s="1051"/>
      <c r="E74" s="1051"/>
      <c r="F74" s="1051"/>
      <c r="G74" s="1052"/>
      <c r="I74" s="794" t="s">
        <v>11</v>
      </c>
    </row>
    <row r="75" spans="1:9" ht="45" customHeight="1" x14ac:dyDescent="0.35">
      <c r="A75" s="661"/>
      <c r="B75" s="712" t="s">
        <v>255</v>
      </c>
      <c r="C75" s="713" t="s">
        <v>256</v>
      </c>
      <c r="D75" s="713" t="s">
        <v>257</v>
      </c>
      <c r="E75" s="713" t="s">
        <v>258</v>
      </c>
      <c r="F75" s="713" t="s">
        <v>259</v>
      </c>
      <c r="G75" s="713" t="s">
        <v>246</v>
      </c>
      <c r="I75" s="795" t="s">
        <v>266</v>
      </c>
    </row>
    <row r="76" spans="1:9" ht="15" x14ac:dyDescent="0.35">
      <c r="A76" s="714" t="s">
        <v>14</v>
      </c>
      <c r="B76" s="715">
        <f>((B77*'2-Input - IIFS Liqudity'!$G$39)+(B89*'2-Input - IIFS Liqudity'!$G$48))/'2-Input - IIFS Liqudity'!$G$38</f>
        <v>5.353574048016236E-2</v>
      </c>
      <c r="C76" s="715">
        <f>((C77*'2-Input - IIFS Liqudity'!$G$39)+(C89*'2-Input - IIFS Liqudity'!$G$48))/'2-Input - IIFS Liqudity'!$G$38</f>
        <v>5.0019851844869241E-2</v>
      </c>
      <c r="D76" s="715">
        <f>((D77*'2-Input - IIFS Liqudity'!$G$39)+(D89*'2-Input - IIFS Liqudity'!$G$48))/'2-Input - IIFS Liqudity'!$G$38</f>
        <v>4.6773796053096013E-2</v>
      </c>
      <c r="E76" s="715">
        <f>((E77*'2-Input - IIFS Liqudity'!$G$39)+(E89*'2-Input - IIFS Liqudity'!$G$48))/'2-Input - IIFS Liqudity'!$G$38</f>
        <v>4.3774640028548702E-2</v>
      </c>
      <c r="F76" s="715">
        <f>((F77*'2-Input - IIFS Liqudity'!$G$39)+(F89*'2-Input - IIFS Liqudity'!$G$48))/'2-Input - IIFS Liqudity'!$G$38</f>
        <v>4.1001526644673443E-2</v>
      </c>
      <c r="G76" s="68">
        <f>SUM(B76:F76)</f>
        <v>0.23510555505134975</v>
      </c>
      <c r="I76" s="715">
        <f>((I77*'2-Input - IIFS Liqudity'!$G$39)+(I89*'2-Input - IIFS Liqudity'!$G$48))/'2-Input - IIFS Liqudity'!$G$38</f>
        <v>7.2352179292466151E-2</v>
      </c>
    </row>
    <row r="77" spans="1:9" ht="15" x14ac:dyDescent="0.35">
      <c r="A77" s="714" t="s">
        <v>16</v>
      </c>
      <c r="B77" s="72">
        <f>((B78*'2-Input - IIFS Liqudity'!$G$40)+(B81*'2-Input - IIFS Liqudity'!$G$43))/'2-Input - IIFS Liqudity'!$G$39</f>
        <v>5.8000000000000003E-2</v>
      </c>
      <c r="C77" s="72">
        <f>((C78*'2-Input - IIFS Liqudity'!$G$40)+(C81*'2-Input - IIFS Liqudity'!$G$43))/'2-Input - IIFS Liqudity'!$G$39</f>
        <v>5.3460000000000001E-2</v>
      </c>
      <c r="D77" s="72">
        <f>((D78*'2-Input - IIFS Liqudity'!$G$40)+(D81*'2-Input - IIFS Liqudity'!$G$43))/'2-Input - IIFS Liqudity'!$G$39</f>
        <v>4.933619999999999E-2</v>
      </c>
      <c r="E77" s="72">
        <f>((E78*'2-Input - IIFS Liqudity'!$G$40)+(E81*'2-Input - IIFS Liqudity'!$G$43))/'2-Input - IIFS Liqudity'!$G$39</f>
        <v>4.5588113999999999E-2</v>
      </c>
      <c r="F77" s="72">
        <f>((F78*'2-Input - IIFS Liqudity'!$G$40)+(F81*'2-Input - IIFS Liqudity'!$G$43))/'2-Input - IIFS Liqudity'!$G$39</f>
        <v>4.2179270579999997E-2</v>
      </c>
      <c r="G77" s="72">
        <f>SUM(B77:F77)</f>
        <v>0.24856358458</v>
      </c>
      <c r="I77" s="72">
        <f>((I78*'2-Input - IIFS Liqudity'!$G$40)+(I81*'2-Input - IIFS Liqudity'!$G$43))/'2-Input - IIFS Liqudity'!$G$39</f>
        <v>0.14200000000000002</v>
      </c>
    </row>
    <row r="78" spans="1:9" ht="15" x14ac:dyDescent="0.35">
      <c r="A78" s="716" t="str">
        <f>+'3-Assumptions'!A12</f>
        <v>ودائع التجزئة وودائع الشركات الصغيرة</v>
      </c>
      <c r="B78" s="72">
        <f>+'3-Assumptions'!B12</f>
        <v>0.03</v>
      </c>
      <c r="C78" s="717">
        <f>IF(ISNUMBER(1-(1-B78)*(1-B78)-B78),1-(1-B78)*(1-B78)-B78,"n.a.")</f>
        <v>2.9100000000000042E-2</v>
      </c>
      <c r="D78" s="718">
        <f>IF(ISNUMBER(1-(1-$B78)*(1-$B78)*(1-$B78)-SUM(B78:C78)),1-(1-$B78)*(1-$B78)*(1-$B78)-SUM(B78:C78),"n.a.")</f>
        <v>2.8227000000000002E-2</v>
      </c>
      <c r="E78" s="718">
        <f>IF(ISNUMBER(1-(1-$B78)*(1-$B78)*(1-$B78)*(1-$B78)-SUM(B78:D78)),1-(1-$B78)*(1-$B78)*(1-$B78)*(1-$B78)-SUM(B78:D78),"n.a.")</f>
        <v>2.7380190000000026E-2</v>
      </c>
      <c r="F78" s="72">
        <f>IF(ISNUMBER(1-(1-$B78)*(1-$B78)*(1-$B78)*(1-$B78)*(1-$B78)-SUM(B78:E78)),1-(1-$B78)*(1-$B78)*(1-$B78)*(1-$B78)*(1-$B78)-SUM(B78:E78),"n.a.")</f>
        <v>2.6558784300000027E-2</v>
      </c>
      <c r="G78" s="719">
        <f>SUM(B78:F78)</f>
        <v>0.1412659743000001</v>
      </c>
      <c r="I78" s="72">
        <v>7.0000000000000007E-2</v>
      </c>
    </row>
    <row r="79" spans="1:9" ht="15" x14ac:dyDescent="0.35">
      <c r="A79" s="720"/>
      <c r="B79" s="721"/>
      <c r="C79" s="722"/>
      <c r="D79" s="723"/>
      <c r="E79" s="723"/>
      <c r="F79" s="721"/>
      <c r="G79" s="724"/>
      <c r="I79" s="721"/>
    </row>
    <row r="80" spans="1:9" ht="15" x14ac:dyDescent="0.35">
      <c r="A80" s="720"/>
      <c r="B80" s="721"/>
      <c r="C80" s="722"/>
      <c r="D80" s="723"/>
      <c r="E80" s="723"/>
      <c r="F80" s="721"/>
      <c r="G80" s="724"/>
      <c r="I80" s="721"/>
    </row>
    <row r="81" spans="1:9" ht="15" x14ac:dyDescent="0.35">
      <c r="A81" s="720" t="str">
        <f>+'3-Assumptions'!A15</f>
        <v>عملاء الجملة</v>
      </c>
      <c r="B81" s="721">
        <f>+'3-Assumptions'!B15</f>
        <v>0.1</v>
      </c>
      <c r="C81" s="722">
        <f>IF(ISNUMBER(1-(1-B81)*(1-B81)-B81),1-(1-B81)*(1-B81)-B81,"n.a.")</f>
        <v>8.9999999999999941E-2</v>
      </c>
      <c r="D81" s="723">
        <f>IF(ISNUMBER(1-(1-$B81)*(1-$B81)*(1-$B81)-SUM(B81:C81)),1-(1-$B81)*(1-$B81)*(1-$B81)-SUM(B81:C81),"n.a.")</f>
        <v>8.0999999999999961E-2</v>
      </c>
      <c r="E81" s="723">
        <f>IF(ISNUMBER(1-(1-$B81)*(1-$B81)*(1-$B81)*(1-$B81)-SUM(B81:D81)),1-(1-$B81)*(1-$B81)*(1-$B81)*(1-$B81)-SUM(B81:D81),"n.a.")</f>
        <v>7.2899999999999965E-2</v>
      </c>
      <c r="F81" s="721">
        <f>IF(ISNUMBER(1-(1-$B81)*(1-$B81)*(1-$B81)*(1-$B81)*(1-$B81)-SUM(B81:E81)),1-(1-$B81)*(1-$B81)*(1-$B81)*(1-$B81)*(1-$B81)-SUM(B81:E81),"n.a.")</f>
        <v>6.5609999999999946E-2</v>
      </c>
      <c r="G81" s="724">
        <f t="shared" ref="G81:G89" si="11">SUM(B81:F81)</f>
        <v>0.40950999999999982</v>
      </c>
      <c r="I81" s="721">
        <v>0.25</v>
      </c>
    </row>
    <row r="82" spans="1:9" ht="15" x14ac:dyDescent="0.35">
      <c r="A82" s="720" t="s">
        <v>356</v>
      </c>
      <c r="B82" s="721"/>
      <c r="C82" s="722"/>
      <c r="D82" s="723"/>
      <c r="E82" s="723"/>
      <c r="F82" s="721"/>
      <c r="G82" s="724">
        <f t="shared" si="11"/>
        <v>0</v>
      </c>
      <c r="I82" s="721"/>
    </row>
    <row r="83" spans="1:9" ht="15" x14ac:dyDescent="0.35">
      <c r="A83" s="720" t="s">
        <v>356</v>
      </c>
      <c r="B83" s="721"/>
      <c r="C83" s="722"/>
      <c r="D83" s="723"/>
      <c r="E83" s="723"/>
      <c r="F83" s="721"/>
      <c r="G83" s="724">
        <f t="shared" si="11"/>
        <v>0</v>
      </c>
      <c r="I83" s="721"/>
    </row>
    <row r="84" spans="1:9" ht="15" x14ac:dyDescent="0.35">
      <c r="A84" s="720" t="s">
        <v>356</v>
      </c>
      <c r="B84" s="721"/>
      <c r="C84" s="722"/>
      <c r="D84" s="723"/>
      <c r="E84" s="723"/>
      <c r="F84" s="721"/>
      <c r="G84" s="724">
        <f t="shared" si="11"/>
        <v>0</v>
      </c>
      <c r="I84" s="721"/>
    </row>
    <row r="85" spans="1:9" ht="15" x14ac:dyDescent="0.35">
      <c r="A85" s="720" t="s">
        <v>356</v>
      </c>
      <c r="B85" s="721"/>
      <c r="C85" s="722"/>
      <c r="D85" s="723"/>
      <c r="E85" s="723"/>
      <c r="F85" s="721"/>
      <c r="G85" s="724">
        <f t="shared" si="11"/>
        <v>0</v>
      </c>
      <c r="I85" s="721"/>
    </row>
    <row r="86" spans="1:9" ht="15" x14ac:dyDescent="0.35">
      <c r="A86" s="720" t="s">
        <v>356</v>
      </c>
      <c r="B86" s="721"/>
      <c r="C86" s="722"/>
      <c r="D86" s="723"/>
      <c r="E86" s="723"/>
      <c r="F86" s="721"/>
      <c r="G86" s="724">
        <f t="shared" si="11"/>
        <v>0</v>
      </c>
      <c r="I86" s="721"/>
    </row>
    <row r="87" spans="1:9" ht="15" x14ac:dyDescent="0.35">
      <c r="A87" s="725" t="s">
        <v>356</v>
      </c>
      <c r="B87" s="726"/>
      <c r="C87" s="727"/>
      <c r="D87" s="728"/>
      <c r="E87" s="728"/>
      <c r="F87" s="726"/>
      <c r="G87" s="729">
        <f t="shared" si="11"/>
        <v>0</v>
      </c>
      <c r="I87" s="726"/>
    </row>
    <row r="88" spans="1:9" ht="15" x14ac:dyDescent="0.35">
      <c r="A88" s="730"/>
      <c r="B88" s="663"/>
      <c r="C88" s="663"/>
      <c r="D88" s="662"/>
      <c r="E88" s="731"/>
      <c r="F88" s="692"/>
      <c r="G88" s="692"/>
      <c r="I88" s="663"/>
    </row>
    <row r="89" spans="1:9" ht="15" x14ac:dyDescent="0.35">
      <c r="A89" s="714" t="str">
        <f>'2-Input - IIFS Liqudity'!C48</f>
        <v>الودائع لأجل/الحسابات الاستثمارية المطلقة القائمة على المشاركة في الأرباح</v>
      </c>
      <c r="B89" s="72">
        <f>((B90*'2-Input - IIFS Liqudity'!$G$49)+(B93*'2-Input - IIFS Liqudity'!$G$52))/'2-Input - IIFS Liqudity'!$G$48</f>
        <v>4.9965698797780587E-2</v>
      </c>
      <c r="C89" s="72">
        <f>((C90*'2-Input - IIFS Liqudity'!$G$49)+(C93*'2-Input - IIFS Liqudity'!$G$52))/'2-Input - IIFS Liqudity'!$G$48</f>
        <v>4.7268785905980396E-2</v>
      </c>
      <c r="D89" s="72">
        <f>((D90*'2-Input - IIFS Liqudity'!$G$49)+(D93*'2-Input - IIFS Liqudity'!$G$52))/'2-Input - IIFS Liqudity'!$G$48</f>
        <v>4.472465691660614E-2</v>
      </c>
      <c r="E89" s="72">
        <f>((E90*'2-Input - IIFS Liqudity'!$G$49)+(E93*'2-Input - IIFS Liqudity'!$G$52))/'2-Input - IIFS Liqudity'!$G$48</f>
        <v>4.2324415721644824E-2</v>
      </c>
      <c r="F89" s="72">
        <f>((F90*'2-Input - IIFS Liqudity'!$G$49)+(F93*'2-Input - IIFS Liqudity'!$G$52))/'2-Input - IIFS Liqudity'!$G$48</f>
        <v>4.0059691851780155E-2</v>
      </c>
      <c r="G89" s="68">
        <f t="shared" si="11"/>
        <v>0.22434324919379209</v>
      </c>
      <c r="I89" s="72">
        <f>((I90*'2-Input - IIFS Liqudity'!$G$49)+(I93*'2-Input - IIFS Liqudity'!$G$52))/'2-Input - IIFS Liqudity'!$G$48</f>
        <v>1.6655232932593529E-2</v>
      </c>
    </row>
    <row r="90" spans="1:9" ht="15" x14ac:dyDescent="0.35">
      <c r="A90" s="720" t="str">
        <f>+'3-Assumptions'!A24</f>
        <v>ودائع التجزئة</v>
      </c>
      <c r="B90" s="72">
        <f>+'3-Assumptions'!B24</f>
        <v>0.03</v>
      </c>
      <c r="C90" s="719">
        <f>IF(ISNUMBER(1-(1-B90)*(1-B90)-B90),1-(1-B90)*(1-B90)-B90,"n.a.")</f>
        <v>2.9100000000000042E-2</v>
      </c>
      <c r="D90" s="72">
        <f>IF(ISNUMBER(1-(1-$B90)*(1-$B90)*(1-$B90)-SUM(B90:C90)),1-(1-$B90)*(1-$B90)*(1-$B90)-SUM(B90:C90),"n.a.")</f>
        <v>2.8227000000000002E-2</v>
      </c>
      <c r="E90" s="72">
        <f>IF(ISNUMBER(1-(1-$B90)*(1-$B90)*(1-$B90)*(1-$B90)-SUM(B90:D90)),1-(1-$B90)*(1-$B90)*(1-$B90)*(1-$B90)-SUM(B90:D90),"n.a.")</f>
        <v>2.7380190000000026E-2</v>
      </c>
      <c r="F90" s="72">
        <f>IF(ISNUMBER(1-(1-$B90)*(1-$B90)*(1-$B90)*(1-$B90)*(1-$B90)-SUM(B90:E90)),1-(1-$B90)*(1-$B90)*(1-$B90)*(1-$B90)*(1-$B90)-SUM(B90:E90),"n.a.")</f>
        <v>2.6558784300000027E-2</v>
      </c>
      <c r="G90" s="72">
        <f>SUM(B90:F90)</f>
        <v>0.1412659743000001</v>
      </c>
      <c r="I90" s="72">
        <f>+'3-Assumptions'!D24</f>
        <v>0.01</v>
      </c>
    </row>
    <row r="91" spans="1:9" ht="15" x14ac:dyDescent="0.35">
      <c r="A91" s="720"/>
      <c r="B91" s="721"/>
      <c r="C91" s="724"/>
      <c r="D91" s="721"/>
      <c r="E91" s="721"/>
      <c r="F91" s="721"/>
      <c r="G91" s="721"/>
      <c r="I91" s="721"/>
    </row>
    <row r="92" spans="1:9" ht="15" x14ac:dyDescent="0.35">
      <c r="A92" s="720"/>
      <c r="B92" s="721"/>
      <c r="C92" s="724"/>
      <c r="D92" s="721"/>
      <c r="E92" s="721"/>
      <c r="F92" s="721"/>
      <c r="G92" s="721"/>
      <c r="I92" s="721"/>
    </row>
    <row r="93" spans="1:9" ht="15" x14ac:dyDescent="0.35">
      <c r="A93" s="720" t="str">
        <f>+'3-Assumptions'!A27</f>
        <v>ودائع الجملة</v>
      </c>
      <c r="B93" s="721">
        <f>+'3-Assumptions'!B27</f>
        <v>0.06</v>
      </c>
      <c r="C93" s="724">
        <f>IF(ISNUMBER(1-(1-B93)*(1-B93)-B93),1-(1-B93)*(1-B93)-B93,"n.a.")</f>
        <v>5.6400000000000061E-2</v>
      </c>
      <c r="D93" s="721">
        <f>IF(ISNUMBER(1-(1-$B93)*(1-$B93)*(1-$B93)-SUM(B93:C93)),1-(1-$B93)*(1-$B93)*(1-$B93)-SUM(B93:C93),"n.a.")</f>
        <v>5.3016000000000063E-2</v>
      </c>
      <c r="E93" s="721">
        <f>IF(ISNUMBER(1-(1-$B93)*(1-$B93)*(1-$B93)*(1-$B93)-SUM(B93:D93)),1-(1-$B93)*(1-$B93)*(1-$B93)*(1-$B93)-SUM(B93:D93),"n.a.")</f>
        <v>4.9835040000000053E-2</v>
      </c>
      <c r="F93" s="721">
        <f>IF(ISNUMBER(1-(1-$B93)*(1-$B93)*(1-$B93)*(1-$B93)*(1-$B93)-SUM(B93:E93)),1-(1-$B93)*(1-$B93)*(1-$B93)*(1-$B93)*(1-$B93)-SUM(B93:E93),"n.a.")</f>
        <v>4.6844937600000081E-2</v>
      </c>
      <c r="G93" s="721">
        <f t="shared" ref="G93:G99" si="12">SUM(B93:F93)</f>
        <v>0.26609597760000026</v>
      </c>
      <c r="I93" s="721">
        <f>+'3-Assumptions'!D27</f>
        <v>0.02</v>
      </c>
    </row>
    <row r="94" spans="1:9" ht="15" x14ac:dyDescent="0.35">
      <c r="A94" s="720" t="s">
        <v>356</v>
      </c>
      <c r="B94" s="721"/>
      <c r="C94" s="724"/>
      <c r="D94" s="721"/>
      <c r="E94" s="721"/>
      <c r="F94" s="721"/>
      <c r="G94" s="721">
        <f t="shared" si="12"/>
        <v>0</v>
      </c>
      <c r="I94" s="721"/>
    </row>
    <row r="95" spans="1:9" ht="15" x14ac:dyDescent="0.35">
      <c r="A95" s="720" t="s">
        <v>356</v>
      </c>
      <c r="B95" s="721"/>
      <c r="C95" s="724"/>
      <c r="D95" s="721"/>
      <c r="E95" s="721"/>
      <c r="F95" s="721"/>
      <c r="G95" s="721">
        <f t="shared" si="12"/>
        <v>0</v>
      </c>
      <c r="I95" s="721"/>
    </row>
    <row r="96" spans="1:9" ht="15" x14ac:dyDescent="0.35">
      <c r="A96" s="720" t="s">
        <v>356</v>
      </c>
      <c r="B96" s="721"/>
      <c r="C96" s="724"/>
      <c r="D96" s="721"/>
      <c r="E96" s="721"/>
      <c r="F96" s="721"/>
      <c r="G96" s="721">
        <f t="shared" si="12"/>
        <v>0</v>
      </c>
      <c r="I96" s="721"/>
    </row>
    <row r="97" spans="1:9" ht="15" x14ac:dyDescent="0.35">
      <c r="A97" s="720" t="s">
        <v>356</v>
      </c>
      <c r="B97" s="721"/>
      <c r="C97" s="724"/>
      <c r="D97" s="721"/>
      <c r="E97" s="721"/>
      <c r="F97" s="721"/>
      <c r="G97" s="721">
        <f t="shared" si="12"/>
        <v>0</v>
      </c>
      <c r="I97" s="721"/>
    </row>
    <row r="98" spans="1:9" ht="15" x14ac:dyDescent="0.35">
      <c r="A98" s="720" t="s">
        <v>356</v>
      </c>
      <c r="B98" s="721"/>
      <c r="C98" s="724"/>
      <c r="D98" s="721"/>
      <c r="E98" s="721"/>
      <c r="F98" s="721"/>
      <c r="G98" s="721">
        <f t="shared" si="12"/>
        <v>0</v>
      </c>
      <c r="I98" s="721"/>
    </row>
    <row r="99" spans="1:9" ht="15" x14ac:dyDescent="0.35">
      <c r="A99" s="837" t="s">
        <v>356</v>
      </c>
      <c r="B99" s="726"/>
      <c r="C99" s="729"/>
      <c r="D99" s="726"/>
      <c r="E99" s="726"/>
      <c r="F99" s="726"/>
      <c r="G99" s="726">
        <f t="shared" si="12"/>
        <v>0</v>
      </c>
      <c r="I99" s="726"/>
    </row>
    <row r="100" spans="1:9" ht="15" x14ac:dyDescent="0.35">
      <c r="A100" s="732"/>
      <c r="B100" s="663"/>
      <c r="C100" s="663"/>
      <c r="D100" s="662"/>
      <c r="E100" s="692"/>
      <c r="F100" s="692"/>
      <c r="G100" s="692"/>
      <c r="I100" s="663"/>
    </row>
    <row r="101" spans="1:9" ht="15" x14ac:dyDescent="0.35">
      <c r="A101" s="714" t="str">
        <f>'2-Input - IIFS Liqudity'!B59</f>
        <v>الحسابات الاستثمارية المقيدة القائمة على المشاركة في الأرباح</v>
      </c>
      <c r="B101" s="733">
        <v>0.03</v>
      </c>
      <c r="C101" s="734">
        <f>IF(ISNUMBER(1-(1-B101)*(1-B101)-B101),1-(1-B101)*(1-B101)-B101,"n.a.")</f>
        <v>2.9100000000000042E-2</v>
      </c>
      <c r="D101" s="734">
        <f>IF(ISNUMBER(1-(1-$B101)*(1-$B101)*(1-$B101)-SUM(B101:C101)),1-(1-$B101)*(1-$B101)*(1-$B101)-SUM(B101:C101),"n.a.")</f>
        <v>2.8227000000000002E-2</v>
      </c>
      <c r="E101" s="734">
        <f>IF(ISNUMBER(1-(1-$B101)*(1-$B101)*(1-$B101)*(1-$B101)-SUM(B101:D101)),1-(1-$B101)*(1-$B101)*(1-$B101)*(1-$B101)-SUM(B101:D101),"n.a.")</f>
        <v>2.7380190000000026E-2</v>
      </c>
      <c r="F101" s="734">
        <f>IF(ISNUMBER(1-(1-$B101)*(1-$B101)*(1-$B101)*(1-$B101)*(1-$B101)-SUM(B101:E101)),1-(1-$B101)*(1-$B101)*(1-$B101)*(1-$B101)*(1-$B101)-SUM(B101:E101),"n.a.")</f>
        <v>2.6558784300000027E-2</v>
      </c>
      <c r="G101" s="735">
        <f>SUM(B101:F101)</f>
        <v>0.1412659743000001</v>
      </c>
      <c r="I101" s="68">
        <f>'3-Assumptions'!$D$33</f>
        <v>0.01</v>
      </c>
    </row>
    <row r="102" spans="1:9" ht="15" x14ac:dyDescent="0.35">
      <c r="A102" s="732"/>
      <c r="B102" s="663"/>
      <c r="C102" s="663"/>
      <c r="D102" s="662"/>
      <c r="E102" s="692"/>
      <c r="F102" s="692"/>
      <c r="G102" s="692"/>
      <c r="I102" s="663"/>
    </row>
    <row r="103" spans="1:9" ht="15" x14ac:dyDescent="0.35">
      <c r="A103" s="732"/>
      <c r="B103" s="663"/>
      <c r="C103" s="663"/>
      <c r="D103" s="662"/>
      <c r="E103" s="692"/>
      <c r="F103" s="692"/>
      <c r="G103" s="692"/>
      <c r="I103" s="663"/>
    </row>
    <row r="104" spans="1:9" ht="15" x14ac:dyDescent="0.35">
      <c r="A104" s="736" t="s">
        <v>21</v>
      </c>
      <c r="B104" s="72">
        <f>((B105*'2-Input - IIFS Liqudity'!$G$64)+(B108*'2-Input - IIFS Liqudity'!$G$71))/'2-Input - IIFS Liqudity'!$G$63</f>
        <v>0</v>
      </c>
      <c r="C104" s="72">
        <f>((C105*'2-Input - IIFS Liqudity'!$G$64)+(C108*'2-Input - IIFS Liqudity'!$G$71))/'2-Input - IIFS Liqudity'!$G$63</f>
        <v>0</v>
      </c>
      <c r="D104" s="72">
        <f>((D105*'2-Input - IIFS Liqudity'!$G$64)+(D108*'2-Input - IIFS Liqudity'!$G$71))/'2-Input - IIFS Liqudity'!$G$63</f>
        <v>0</v>
      </c>
      <c r="E104" s="72">
        <f>((E105*'2-Input - IIFS Liqudity'!$G$64)+(E108*'2-Input - IIFS Liqudity'!$G$71))/'2-Input - IIFS Liqudity'!$G$63</f>
        <v>0</v>
      </c>
      <c r="F104" s="72">
        <f>((F105*'2-Input - IIFS Liqudity'!$G$64)+(F108*'2-Input - IIFS Liqudity'!$G$71))/'2-Input - IIFS Liqudity'!$G$63</f>
        <v>0</v>
      </c>
      <c r="G104" s="68">
        <f>SUM(B104:F104)</f>
        <v>0</v>
      </c>
      <c r="I104" s="72">
        <f>((I105*'2-Input - IIFS Liqudity'!$G$64)+(I108*'2-Input - IIFS Liqudity'!$G$71))/'2-Input - IIFS Liqudity'!$G$63</f>
        <v>0</v>
      </c>
    </row>
    <row r="105" spans="1:9" ht="15" x14ac:dyDescent="0.35">
      <c r="A105" s="716" t="s">
        <v>84</v>
      </c>
      <c r="B105" s="72">
        <f>'3-Assumptions'!B36</f>
        <v>0</v>
      </c>
      <c r="C105" s="717">
        <f>IF(ISNUMBER(1-(1-B105)*(1-B105)-B105),1-(1-B105)*(1-B105)-B105,"n.a.")</f>
        <v>0</v>
      </c>
      <c r="D105" s="718">
        <f>IF(ISNUMBER(1-(1-$B105)*(1-$B105)*(1-$B105)-SUM(B105:C105)),1-(1-$B105)*(1-$B105)*(1-$B105)-SUM(B105:C105),"n.a.")</f>
        <v>0</v>
      </c>
      <c r="E105" s="72">
        <f>IF(ISNUMBER(1-(1-$B105)*(1-$B105)*(1-$B105)*(1-$B105)-SUM(B105:D105)),1-(1-$B105)*(1-$B105)*(1-$B105)*(1-$B105)-SUM(B105:D105),"n.a.")</f>
        <v>0</v>
      </c>
      <c r="F105" s="72">
        <f>IF(ISNUMBER(1-(1-$B105)*(1-$B105)*(1-$B105)*(1-$B105)*(1-$B105)-SUM(B105:E105)),1-(1-$B105)*(1-$B105)*(1-$B105)*(1-$B105)*(1-$B105)-SUM(B105:E105),"n.a.")</f>
        <v>0</v>
      </c>
      <c r="G105" s="72">
        <f>SUM(B105:F105)</f>
        <v>0</v>
      </c>
      <c r="I105" s="72">
        <f>'3-Assumptions'!I36</f>
        <v>0</v>
      </c>
    </row>
    <row r="106" spans="1:9" ht="15" x14ac:dyDescent="0.35">
      <c r="A106" s="720"/>
      <c r="B106" s="721"/>
      <c r="C106" s="722"/>
      <c r="D106" s="723"/>
      <c r="E106" s="721"/>
      <c r="F106" s="721"/>
      <c r="G106" s="721"/>
      <c r="I106" s="721"/>
    </row>
    <row r="107" spans="1:9" ht="15" x14ac:dyDescent="0.35">
      <c r="A107" s="720"/>
      <c r="B107" s="721"/>
      <c r="C107" s="722"/>
      <c r="D107" s="723"/>
      <c r="E107" s="721"/>
      <c r="F107" s="721"/>
      <c r="G107" s="721"/>
      <c r="I107" s="721"/>
    </row>
    <row r="108" spans="1:9" ht="15" x14ac:dyDescent="0.35">
      <c r="A108" s="720" t="s">
        <v>88</v>
      </c>
      <c r="B108" s="721">
        <f>'3-Assumptions'!B43</f>
        <v>0</v>
      </c>
      <c r="C108" s="722">
        <f>IF(ISNUMBER(1-(1-B108)*(1-B108)-B108),1-(1-B108)*(1-B108)-B108,"n.a.")</f>
        <v>0</v>
      </c>
      <c r="D108" s="723">
        <f>IF(ISNUMBER(1-(1-$B108)*(1-$B108)*(1-$B108)-SUM(B108:C108)),1-(1-$B108)*(1-$B108)*(1-$B108)-SUM(B108:C108),"n.a.")</f>
        <v>0</v>
      </c>
      <c r="E108" s="721">
        <f>IF(ISNUMBER(1-(1-$B108)*(1-$B108)*(1-$B108)*(1-$B108)-SUM(B108:D108)),1-(1-$B108)*(1-$B108)*(1-$B108)*(1-$B108)-SUM(B108:D108),"n.a.")</f>
        <v>0</v>
      </c>
      <c r="F108" s="721">
        <f>IF(ISNUMBER(1-(1-$B108)*(1-$B108)*(1-$B108)*(1-$B108)*(1-$B108)-SUM(B108:E108)),1-(1-$B108)*(1-$B108)*(1-$B108)*(1-$B108)*(1-$B108)-SUM(B108:E108),"n.a.")</f>
        <v>0</v>
      </c>
      <c r="G108" s="721">
        <f>SUM(B108:F108)</f>
        <v>0</v>
      </c>
      <c r="I108" s="721">
        <f>'3-Assumptions'!I43</f>
        <v>0</v>
      </c>
    </row>
    <row r="109" spans="1:9" ht="15" x14ac:dyDescent="0.35">
      <c r="A109" s="720" t="s">
        <v>356</v>
      </c>
      <c r="B109" s="721"/>
      <c r="C109" s="722"/>
      <c r="D109" s="723"/>
      <c r="E109" s="721"/>
      <c r="F109" s="721"/>
      <c r="G109" s="721">
        <f>SUM(B109:F109)</f>
        <v>0</v>
      </c>
      <c r="I109" s="721"/>
    </row>
    <row r="110" spans="1:9" ht="15" x14ac:dyDescent="0.35">
      <c r="A110" s="837" t="s">
        <v>356</v>
      </c>
      <c r="B110" s="726"/>
      <c r="C110" s="727"/>
      <c r="D110" s="728"/>
      <c r="E110" s="726"/>
      <c r="F110" s="726"/>
      <c r="G110" s="726">
        <f>SUM(B110:F110)</f>
        <v>0</v>
      </c>
      <c r="I110" s="726"/>
    </row>
    <row r="111" spans="1:9" ht="15" x14ac:dyDescent="0.35">
      <c r="A111" s="732"/>
      <c r="B111" s="663"/>
      <c r="C111" s="663"/>
      <c r="D111" s="662"/>
      <c r="E111" s="692"/>
      <c r="F111" s="692"/>
      <c r="G111" s="692"/>
      <c r="I111" s="663"/>
    </row>
    <row r="112" spans="1:9" ht="15" x14ac:dyDescent="0.35">
      <c r="A112" s="714" t="s">
        <v>89</v>
      </c>
      <c r="B112" s="68" t="s">
        <v>171</v>
      </c>
      <c r="C112" s="68" t="s">
        <v>171</v>
      </c>
      <c r="D112" s="68" t="s">
        <v>171</v>
      </c>
      <c r="E112" s="68" t="s">
        <v>171</v>
      </c>
      <c r="F112" s="68" t="s">
        <v>171</v>
      </c>
      <c r="G112" s="68">
        <f>SUM(B112:F112)</f>
        <v>0</v>
      </c>
      <c r="I112" s="68" t="s">
        <v>171</v>
      </c>
    </row>
    <row r="113" spans="1:26" ht="15" x14ac:dyDescent="0.35">
      <c r="A113" s="737"/>
      <c r="B113" s="663"/>
      <c r="C113" s="663"/>
      <c r="D113" s="662"/>
      <c r="E113" s="662"/>
      <c r="F113" s="662"/>
      <c r="G113" s="662"/>
      <c r="I113" s="663"/>
    </row>
    <row r="114" spans="1:26" ht="15" x14ac:dyDescent="0.35">
      <c r="A114" s="738" t="s">
        <v>90</v>
      </c>
      <c r="B114" s="68" t="s">
        <v>171</v>
      </c>
      <c r="C114" s="68" t="s">
        <v>171</v>
      </c>
      <c r="D114" s="68" t="s">
        <v>171</v>
      </c>
      <c r="E114" s="68" t="s">
        <v>171</v>
      </c>
      <c r="F114" s="68" t="s">
        <v>171</v>
      </c>
      <c r="G114" s="68">
        <f>SUM(B114:F114)</f>
        <v>0</v>
      </c>
      <c r="I114" s="68" t="s">
        <v>171</v>
      </c>
    </row>
    <row r="115" spans="1:26" ht="15" x14ac:dyDescent="0.35">
      <c r="A115" s="739"/>
      <c r="B115" s="663"/>
      <c r="C115" s="663"/>
      <c r="D115" s="662"/>
      <c r="E115" s="662"/>
      <c r="F115" s="662"/>
      <c r="G115" s="662"/>
      <c r="I115" s="663"/>
    </row>
    <row r="116" spans="1:26" ht="15" x14ac:dyDescent="0.35">
      <c r="A116" s="714" t="s">
        <v>260</v>
      </c>
      <c r="B116" s="72">
        <f>((B117*'2-Input - IIFS Liqudity'!$G$78)+(B118*'2-Input - IIFS Liqudity'!$G$79))/'2-Input - IIFS Liqudity'!$G$77</f>
        <v>0</v>
      </c>
      <c r="C116" s="72">
        <f>((C117*'2-Input - IIFS Liqudity'!$G$78)+(C118*'2-Input - IIFS Liqudity'!$G$79))/'2-Input - IIFS Liqudity'!$G$77</f>
        <v>0</v>
      </c>
      <c r="D116" s="72">
        <f>((D117*'2-Input - IIFS Liqudity'!$G$78)+(D118*'2-Input - IIFS Liqudity'!$G$79))/'2-Input - IIFS Liqudity'!$G$77</f>
        <v>0</v>
      </c>
      <c r="E116" s="72">
        <f>((E117*'2-Input - IIFS Liqudity'!$G$78)+(E118*'2-Input - IIFS Liqudity'!$G$79))/'2-Input - IIFS Liqudity'!$G$77</f>
        <v>0</v>
      </c>
      <c r="F116" s="72">
        <f>((F117*'2-Input - IIFS Liqudity'!$G$78)+(F118*'2-Input - IIFS Liqudity'!$G$79))/'2-Input - IIFS Liqudity'!$G$77</f>
        <v>0</v>
      </c>
      <c r="G116" s="68">
        <f t="shared" ref="G116:G121" si="13">SUM(B116:F116)</f>
        <v>0</v>
      </c>
      <c r="I116" s="72">
        <f>((I117*'2-Input - IIFS Liqudity'!$G$78)+(I118*'2-Input - IIFS Liqudity'!$G$79))/'2-Input - IIFS Liqudity'!$G$77</f>
        <v>0</v>
      </c>
    </row>
    <row r="117" spans="1:26" ht="15" x14ac:dyDescent="0.35">
      <c r="A117" s="716" t="s">
        <v>55</v>
      </c>
      <c r="B117" s="718">
        <f>'3-Assumptions'!B50</f>
        <v>0</v>
      </c>
      <c r="C117" s="72">
        <f>IF(ISNUMBER(1-(1-B117)*(1-B117)-B117),1-(1-B117)*(1-B117)-B117,"n.a.")</f>
        <v>0</v>
      </c>
      <c r="D117" s="718">
        <f>IF(ISNUMBER(1-(1-$B117)*(1-$B117)*(1-$B117)-SUM(B117:C117)),1-(1-$B117)*(1-$B117)*(1-$B117)-SUM(B117:C117),"n.a.")</f>
        <v>0</v>
      </c>
      <c r="E117" s="72">
        <f>IF(ISNUMBER(1-(1-$B117)*(1-$B117)*(1-$B117)*(1-$B117)-SUM(B117:D117)),1-(1-$B117)*(1-$B117)*(1-$B117)*(1-$B117)-SUM(B117:D117),"n.a.")</f>
        <v>0</v>
      </c>
      <c r="F117" s="72">
        <f>IF(ISNUMBER(1-(1-$B117)*(1-$B117)*(1-$B117)*(1-$B117)*(1-$B117)-SUM(B117:E117)),1-(1-$B117)*(1-$B117)*(1-$B117)*(1-$B117)*(1-$B117)-SUM(B117:E117),"n.a.")</f>
        <v>0</v>
      </c>
      <c r="G117" s="72">
        <f t="shared" si="13"/>
        <v>0</v>
      </c>
      <c r="I117" s="72">
        <f>'3-Assumptions'!I50</f>
        <v>0</v>
      </c>
    </row>
    <row r="118" spans="1:26" ht="15" x14ac:dyDescent="0.35">
      <c r="A118" s="720" t="s">
        <v>56</v>
      </c>
      <c r="B118" s="723">
        <f>'3-Assumptions'!B51</f>
        <v>0</v>
      </c>
      <c r="C118" s="721">
        <f>IF(ISNUMBER(1-(1-B118)*(1-B118)-B118),1-(1-B118)*(1-B118)-B118,"n.a.")</f>
        <v>0</v>
      </c>
      <c r="D118" s="723">
        <f>IF(ISNUMBER(1-(1-$B118)*(1-$B118)*(1-$B118)-SUM(B118:C118)),1-(1-$B118)*(1-$B118)*(1-$B118)-SUM(B118:C118),"n.a.")</f>
        <v>0</v>
      </c>
      <c r="E118" s="721">
        <f>IF(ISNUMBER(1-(1-$B118)*(1-$B118)*(1-$B118)*(1-$B118)-SUM(B118:D118)),1-(1-$B118)*(1-$B118)*(1-$B118)*(1-$B118)-SUM(B118:D118),"n.a.")</f>
        <v>0</v>
      </c>
      <c r="F118" s="721">
        <f>IF(ISNUMBER(1-(1-$B118)*(1-$B118)*(1-$B118)*(1-$B118)*(1-$B118)-SUM(B118:E118)),1-(1-$B118)*(1-$B118)*(1-$B118)*(1-$B118)*(1-$B118)-SUM(B118:E118),"n.a.")</f>
        <v>0</v>
      </c>
      <c r="G118" s="721">
        <f t="shared" si="13"/>
        <v>0</v>
      </c>
      <c r="I118" s="721">
        <f>'3-Assumptions'!I51</f>
        <v>0</v>
      </c>
    </row>
    <row r="119" spans="1:26" ht="15" x14ac:dyDescent="0.35">
      <c r="A119" s="720" t="s">
        <v>356</v>
      </c>
      <c r="B119" s="723"/>
      <c r="C119" s="721"/>
      <c r="D119" s="723"/>
      <c r="E119" s="721"/>
      <c r="F119" s="721"/>
      <c r="G119" s="721">
        <f t="shared" si="13"/>
        <v>0</v>
      </c>
      <c r="I119" s="721"/>
    </row>
    <row r="120" spans="1:26" ht="15" x14ac:dyDescent="0.35">
      <c r="A120" s="720" t="s">
        <v>356</v>
      </c>
      <c r="B120" s="723"/>
      <c r="C120" s="721"/>
      <c r="D120" s="723"/>
      <c r="E120" s="721"/>
      <c r="F120" s="721"/>
      <c r="G120" s="721">
        <f t="shared" si="13"/>
        <v>0</v>
      </c>
      <c r="I120" s="721"/>
    </row>
    <row r="121" spans="1:26" ht="15" x14ac:dyDescent="0.35">
      <c r="A121" s="725" t="s">
        <v>356</v>
      </c>
      <c r="B121" s="728"/>
      <c r="C121" s="726"/>
      <c r="D121" s="728"/>
      <c r="E121" s="726"/>
      <c r="F121" s="726"/>
      <c r="G121" s="726">
        <f t="shared" si="13"/>
        <v>0</v>
      </c>
      <c r="I121" s="726"/>
    </row>
    <row r="122" spans="1:26" ht="15" x14ac:dyDescent="0.35">
      <c r="A122" s="691"/>
      <c r="B122" s="692"/>
      <c r="C122" s="692"/>
      <c r="D122" s="692"/>
      <c r="E122" s="692"/>
      <c r="F122" s="692"/>
      <c r="G122" s="692"/>
      <c r="I122" s="692"/>
    </row>
    <row r="123" spans="1:26" ht="15" x14ac:dyDescent="0.35">
      <c r="A123" s="714" t="s">
        <v>92</v>
      </c>
      <c r="B123" s="68">
        <f>IF(ISNUMBER('3-Assumptions'!B56),'3-Assumptions'!B56,"n.a.")</f>
        <v>0</v>
      </c>
      <c r="C123" s="733">
        <f>IF(ISNUMBER(1-(1-B123)*(1-B123)-B123),1-(1-B123)*(1-B123)-B123,"n.a.")</f>
        <v>0</v>
      </c>
      <c r="D123" s="734">
        <f>IF(ISNUMBER(1-(1-$B123)*(1-$B123)*(1-$B123)-SUM(B123:C123)),1-(1-$B123)*(1-$B123)*(1-$B123)-SUM(B123:C123),"n.a.")</f>
        <v>0</v>
      </c>
      <c r="E123" s="734">
        <f>IF(ISNUMBER(1-(1-$B123)*(1-$B123)*(1-$B123)*(1-$B123)-SUM(B123:D123)),1-(1-$B123)*(1-$B123)*(1-$B123)*(1-$B123)-SUM(B123:D123),"n.a.")</f>
        <v>0</v>
      </c>
      <c r="F123" s="734">
        <f>IF(ISNUMBER(1-(1-$B123)*(1-$B123)*(1-$B123)*(1-$B123)*(1-$B123)-SUM(B123:E123)),1-(1-$B123)*(1-$B123)*(1-$B123)*(1-$B123)*(1-$B123)-SUM(B123:E123),"n.a.")</f>
        <v>0</v>
      </c>
      <c r="G123" s="735">
        <f>SUM(B123:F123)</f>
        <v>0</v>
      </c>
      <c r="I123" s="68" t="s">
        <v>171</v>
      </c>
    </row>
    <row r="124" spans="1:26" ht="15" x14ac:dyDescent="0.35">
      <c r="A124" s="691"/>
      <c r="B124" s="692"/>
      <c r="C124" s="692"/>
      <c r="D124" s="692"/>
      <c r="E124" s="692"/>
      <c r="F124" s="692"/>
      <c r="G124" s="692"/>
      <c r="I124" s="692"/>
    </row>
    <row r="125" spans="1:26" ht="15" x14ac:dyDescent="0.35">
      <c r="A125" s="714" t="s">
        <v>393</v>
      </c>
      <c r="B125" s="68">
        <f>IF(ISNUMBER('3-Assumptions'!B58),'3-Assumptions'!B58,"n.a.")</f>
        <v>0</v>
      </c>
      <c r="C125" s="68">
        <f>IF(ISNUMBER(1-(1-B125)*(1-B125)-B125),1-(1-B125)*(1-B125)-B125,"n.a.")</f>
        <v>0</v>
      </c>
      <c r="D125" s="68">
        <f>IF(ISNUMBER(1-(1-$B125)*(1-$B125)*(1-$B125)-SUM(B125:C125)),1-(1-$B125)*(1-$B125)*(1-$B125)-SUM(B125:C125),"n.a.")</f>
        <v>0</v>
      </c>
      <c r="E125" s="68">
        <f>IF(ISNUMBER(1-(1-$B125)*(1-$B125)*(1-$B125)*(1-$B125)-SUM(B125:D125)),1-(1-$B125)*(1-$B125)*(1-$B125)*(1-$B125)-SUM(B125:D125),"n.a.")</f>
        <v>0</v>
      </c>
      <c r="F125" s="68">
        <f>IF(ISNUMBER(1-(1-$B125)*(1-$B125)*(1-$B125)*(1-$B125)*(1-$B125)-SUM(B125:E125)),1-(1-$B125)*(1-$B125)*(1-$B125)*(1-$B125)*(1-$B125)-SUM(B125:E125),"n.a.")</f>
        <v>0</v>
      </c>
      <c r="G125" s="735">
        <f>SUM(B125:F125)</f>
        <v>0</v>
      </c>
      <c r="I125" s="68" t="s">
        <v>171</v>
      </c>
    </row>
    <row r="126" spans="1:26" ht="15" x14ac:dyDescent="0.35">
      <c r="A126" s="691"/>
      <c r="B126" s="692"/>
      <c r="C126" s="692"/>
      <c r="D126" s="692"/>
      <c r="E126" s="692"/>
      <c r="F126" s="692"/>
      <c r="G126" s="692"/>
    </row>
    <row r="127" spans="1:26" ht="15" x14ac:dyDescent="0.35">
      <c r="A127" s="664"/>
      <c r="B127" s="662"/>
      <c r="C127" s="662"/>
      <c r="D127" s="662"/>
      <c r="E127" s="662"/>
      <c r="F127" s="662"/>
      <c r="G127" s="662"/>
    </row>
    <row r="128" spans="1:26" s="23" customFormat="1" ht="15" x14ac:dyDescent="0.35">
      <c r="A128" s="1047" t="s">
        <v>261</v>
      </c>
      <c r="B128" s="1048"/>
      <c r="C128" s="1048"/>
      <c r="D128" s="1048"/>
      <c r="E128" s="1048"/>
      <c r="F128" s="1048"/>
      <c r="G128" s="1049"/>
      <c r="H128" s="29"/>
      <c r="I128" s="29"/>
      <c r="J128" s="29"/>
      <c r="K128" s="29"/>
      <c r="L128" s="29"/>
      <c r="M128" s="29"/>
      <c r="N128" s="29"/>
      <c r="O128" s="29"/>
      <c r="P128" s="29"/>
      <c r="Q128" s="29"/>
      <c r="R128" s="29"/>
      <c r="S128" s="29"/>
      <c r="T128" s="29"/>
      <c r="U128" s="29"/>
      <c r="V128" s="29"/>
      <c r="W128" s="29"/>
      <c r="X128" s="29"/>
      <c r="Y128" s="29"/>
      <c r="Z128" s="29"/>
    </row>
    <row r="129" spans="1:7" ht="15" x14ac:dyDescent="0.35">
      <c r="A129" s="664"/>
      <c r="B129" s="662"/>
      <c r="C129" s="662"/>
      <c r="D129" s="662"/>
      <c r="E129" s="662"/>
      <c r="F129" s="662"/>
      <c r="G129" s="662"/>
    </row>
    <row r="130" spans="1:7" ht="15" x14ac:dyDescent="0.35">
      <c r="A130" s="664"/>
      <c r="B130" s="662"/>
      <c r="C130" s="662"/>
      <c r="D130" s="662"/>
      <c r="E130" s="662"/>
      <c r="F130" s="662"/>
      <c r="G130" s="662"/>
    </row>
    <row r="131" spans="1:7" ht="15.75" customHeight="1" x14ac:dyDescent="0.2">
      <c r="A131" s="841"/>
      <c r="B131" s="842" t="s">
        <v>46</v>
      </c>
      <c r="C131" s="669" t="str">
        <f>C8</f>
        <v>المؤسسة رقم 1</v>
      </c>
      <c r="D131" s="669" t="str">
        <f>D8</f>
        <v>المؤسسة رقم 2</v>
      </c>
      <c r="E131" s="669" t="str">
        <f>E8</f>
        <v>المؤسسة رقم 3</v>
      </c>
      <c r="F131" s="669" t="str">
        <f>F8</f>
        <v>المؤسسة رقم 4</v>
      </c>
      <c r="G131" s="843" t="str">
        <f>G8</f>
        <v>المؤسسة رقم 5</v>
      </c>
    </row>
    <row r="132" spans="1:7" ht="15" customHeight="1" x14ac:dyDescent="0.2">
      <c r="A132" s="811" t="s">
        <v>247</v>
      </c>
      <c r="B132" s="845"/>
      <c r="C132" s="846">
        <f>+C133+C139</f>
        <v>3723426.25</v>
      </c>
      <c r="D132" s="846">
        <f>+D133+D139</f>
        <v>5942767</v>
      </c>
      <c r="E132" s="846">
        <f>+E133+E139</f>
        <v>4517922.05</v>
      </c>
      <c r="F132" s="846">
        <f>+F133+F139</f>
        <v>5080913</v>
      </c>
      <c r="G132" s="846">
        <f>+G133+G139</f>
        <v>6187640</v>
      </c>
    </row>
    <row r="133" spans="1:7" ht="15" customHeight="1" x14ac:dyDescent="0.2">
      <c r="A133" s="811" t="s">
        <v>262</v>
      </c>
      <c r="B133" s="845"/>
      <c r="C133" s="846">
        <f>+SUM(C134:C138)</f>
        <v>3489676</v>
      </c>
      <c r="D133" s="846">
        <f>+SUM(D134:D138)</f>
        <v>5942767</v>
      </c>
      <c r="E133" s="846">
        <f>+SUM(E134:E138)</f>
        <v>4481752</v>
      </c>
      <c r="F133" s="846">
        <f>+SUM(F134:F138)</f>
        <v>5080913</v>
      </c>
      <c r="G133" s="846">
        <f>+SUM(G134:G138)</f>
        <v>6187640</v>
      </c>
    </row>
    <row r="134" spans="1:7" ht="15" x14ac:dyDescent="0.2">
      <c r="A134" s="844" t="s">
        <v>108</v>
      </c>
      <c r="B134" s="802">
        <f>SUM(C134:G134)</f>
        <v>1238526</v>
      </c>
      <c r="C134" s="702">
        <f>+'2-Input - IIFS Liqudity'!I136*'3-Assumptions'!$B104</f>
        <v>550408</v>
      </c>
      <c r="D134" s="702">
        <f>+'2-Input - IIFS Liqudity'!J136*'3-Assumptions'!$B104</f>
        <v>45876</v>
      </c>
      <c r="E134" s="702">
        <f>+'2-Input - IIFS Liqudity'!K136*'3-Assumptions'!$B104</f>
        <v>120454</v>
      </c>
      <c r="F134" s="702">
        <f>+'2-Input - IIFS Liqudity'!L136*'3-Assumptions'!$B104</f>
        <v>454344</v>
      </c>
      <c r="G134" s="703">
        <f>+'2-Input - IIFS Liqudity'!M136*'3-Assumptions'!$B104</f>
        <v>67444</v>
      </c>
    </row>
    <row r="135" spans="1:7" ht="15" x14ac:dyDescent="0.2">
      <c r="A135" s="116" t="s">
        <v>109</v>
      </c>
      <c r="B135" s="802">
        <f>SUM(C135:G135)</f>
        <v>8204916</v>
      </c>
      <c r="C135" s="702">
        <f>+'2-Input - IIFS Liqudity'!I137*'3-Assumptions'!$B105</f>
        <v>2550408</v>
      </c>
      <c r="D135" s="702">
        <f>+'2-Input - IIFS Liqudity'!J137*'3-Assumptions'!$B105</f>
        <v>465311</v>
      </c>
      <c r="E135" s="702">
        <f>+'2-Input - IIFS Liqudity'!K137*'3-Assumptions'!$B105</f>
        <v>1050720</v>
      </c>
      <c r="F135" s="702">
        <f>+'2-Input - IIFS Liqudity'!L137*'3-Assumptions'!$B105</f>
        <v>3355029</v>
      </c>
      <c r="G135" s="703">
        <f>+'2-Input - IIFS Liqudity'!M137*'3-Assumptions'!$B105</f>
        <v>783448</v>
      </c>
    </row>
    <row r="136" spans="1:7" ht="60" x14ac:dyDescent="0.2">
      <c r="A136" s="116" t="s">
        <v>438</v>
      </c>
      <c r="B136" s="802">
        <f t="shared" ref="B136:B141" si="14">SUM(C136:G136)</f>
        <v>0</v>
      </c>
      <c r="C136" s="701">
        <f>+'2-Input - IIFS Liqudity'!I138*'3-Assumptions'!$B106</f>
        <v>0</v>
      </c>
      <c r="D136" s="702">
        <f>+'2-Input - IIFS Liqudity'!J138*'3-Assumptions'!$B106</f>
        <v>0</v>
      </c>
      <c r="E136" s="702">
        <f>+'2-Input - IIFS Liqudity'!K138*'3-Assumptions'!$B106</f>
        <v>0</v>
      </c>
      <c r="F136" s="702">
        <f>+'2-Input - IIFS Liqudity'!L138*'3-Assumptions'!$B106</f>
        <v>0</v>
      </c>
      <c r="G136" s="703">
        <f>+'2-Input - IIFS Liqudity'!M138*'3-Assumptions'!$B106</f>
        <v>0</v>
      </c>
    </row>
    <row r="137" spans="1:7" ht="30" x14ac:dyDescent="0.2">
      <c r="A137" s="116" t="s">
        <v>439</v>
      </c>
      <c r="B137" s="802">
        <f t="shared" si="14"/>
        <v>12836915</v>
      </c>
      <c r="C137" s="701">
        <f>+'2-Input - IIFS Liqudity'!I139*'3-Assumptions'!$B107</f>
        <v>342984</v>
      </c>
      <c r="D137" s="702">
        <f>+'2-Input - IIFS Liqudity'!J139*'3-Assumptions'!$B107</f>
        <v>4642013</v>
      </c>
      <c r="E137" s="702">
        <f>+'2-Input - IIFS Liqudity'!K139*'3-Assumptions'!$B107</f>
        <v>1853810</v>
      </c>
      <c r="F137" s="702">
        <f>+'2-Input - IIFS Liqudity'!L139*'3-Assumptions'!$B107</f>
        <v>725895</v>
      </c>
      <c r="G137" s="703">
        <f>+'2-Input - IIFS Liqudity'!M139*'3-Assumptions'!$B107</f>
        <v>5272213</v>
      </c>
    </row>
    <row r="138" spans="1:7" ht="45" x14ac:dyDescent="0.2">
      <c r="A138" s="116" t="s">
        <v>415</v>
      </c>
      <c r="B138" s="803">
        <f t="shared" si="14"/>
        <v>2902391</v>
      </c>
      <c r="C138" s="705">
        <f>+'2-Input - IIFS Liqudity'!I140*'3-Assumptions'!$B108</f>
        <v>45876</v>
      </c>
      <c r="D138" s="706">
        <f>+'2-Input - IIFS Liqudity'!J140*'3-Assumptions'!$B108</f>
        <v>789567</v>
      </c>
      <c r="E138" s="706">
        <f>+'2-Input - IIFS Liqudity'!K140*'3-Assumptions'!$B108</f>
        <v>1456768</v>
      </c>
      <c r="F138" s="706">
        <f>+'2-Input - IIFS Liqudity'!L140*'3-Assumptions'!$B108</f>
        <v>545645</v>
      </c>
      <c r="G138" s="707">
        <f>+'2-Input - IIFS Liqudity'!M140*'3-Assumptions'!$B108</f>
        <v>64535</v>
      </c>
    </row>
    <row r="139" spans="1:7" ht="15.75" thickBot="1" x14ac:dyDescent="0.25">
      <c r="A139" s="114" t="s">
        <v>110</v>
      </c>
      <c r="B139" s="740"/>
      <c r="C139" s="741">
        <f>+C140+C143</f>
        <v>233750.25</v>
      </c>
      <c r="D139" s="742">
        <f>+D140+D143</f>
        <v>0</v>
      </c>
      <c r="E139" s="742">
        <f>+E140+E143</f>
        <v>36170.049999999996</v>
      </c>
      <c r="F139" s="742">
        <f>+F140+F143</f>
        <v>0</v>
      </c>
      <c r="G139" s="743">
        <f>+G140+G143</f>
        <v>0</v>
      </c>
    </row>
    <row r="140" spans="1:7" ht="15" x14ac:dyDescent="0.2">
      <c r="A140" s="744" t="s">
        <v>112</v>
      </c>
      <c r="B140" s="745"/>
      <c r="C140" s="746">
        <f>+SUM(C141:C142)</f>
        <v>210812.75</v>
      </c>
      <c r="D140" s="747">
        <f>+SUM(D141:D142)</f>
        <v>0</v>
      </c>
      <c r="E140" s="747">
        <f>+SUM(E141:E142)</f>
        <v>36170.049999999996</v>
      </c>
      <c r="F140" s="747">
        <f>+SUM(F141:F142)</f>
        <v>0</v>
      </c>
      <c r="G140" s="748">
        <f>+SUM(G141:G142)</f>
        <v>0</v>
      </c>
    </row>
    <row r="141" spans="1:7" ht="45" x14ac:dyDescent="0.2">
      <c r="A141" s="121" t="s">
        <v>416</v>
      </c>
      <c r="B141" s="802">
        <f t="shared" si="14"/>
        <v>190904.9</v>
      </c>
      <c r="C141" s="702">
        <f>'2-Input - IIFS Liqudity'!I143*'3-Assumptions'!$B111</f>
        <v>154734.85</v>
      </c>
      <c r="D141" s="702">
        <f>'2-Input - IIFS Liqudity'!J143*'3-Assumptions'!$B111</f>
        <v>0</v>
      </c>
      <c r="E141" s="702">
        <f>'2-Input - IIFS Liqudity'!K143*'3-Assumptions'!$B111</f>
        <v>36170.049999999996</v>
      </c>
      <c r="F141" s="702">
        <f>'2-Input - IIFS Liqudity'!L143*'3-Assumptions'!$B111</f>
        <v>0</v>
      </c>
      <c r="G141" s="703">
        <f>'2-Input - IIFS Liqudity'!M143*'3-Assumptions'!$B111</f>
        <v>0</v>
      </c>
    </row>
    <row r="142" spans="1:7" ht="30" x14ac:dyDescent="0.2">
      <c r="A142" s="116" t="s">
        <v>310</v>
      </c>
      <c r="B142" s="803">
        <f>SUM(C142:G142)</f>
        <v>56077.9</v>
      </c>
      <c r="C142" s="706">
        <f>'2-Input - IIFS Liqudity'!I144*'3-Assumptions'!$B112</f>
        <v>56077.9</v>
      </c>
      <c r="D142" s="706">
        <f>'2-Input - IIFS Liqudity'!J144*'3-Assumptions'!$B112</f>
        <v>0</v>
      </c>
      <c r="E142" s="706">
        <f>'2-Input - IIFS Liqudity'!K144*'3-Assumptions'!$B112</f>
        <v>0</v>
      </c>
      <c r="F142" s="706">
        <f>'2-Input - IIFS Liqudity'!L144*'3-Assumptions'!$B112</f>
        <v>0</v>
      </c>
      <c r="G142" s="707">
        <f>'2-Input - IIFS Liqudity'!M144*'3-Assumptions'!$B112</f>
        <v>0</v>
      </c>
    </row>
    <row r="143" spans="1:7" ht="15.75" thickBot="1" x14ac:dyDescent="0.4">
      <c r="A143" s="119" t="s">
        <v>113</v>
      </c>
      <c r="B143" s="749"/>
      <c r="C143" s="750">
        <f>SUM(C144:C146)</f>
        <v>22937.5</v>
      </c>
      <c r="D143" s="751">
        <f>SUM(D144:D146)</f>
        <v>0</v>
      </c>
      <c r="E143" s="751">
        <f>SUM(E144:E146)</f>
        <v>0</v>
      </c>
      <c r="F143" s="751">
        <f>SUM(F144:F146)</f>
        <v>0</v>
      </c>
      <c r="G143" s="752">
        <f>SUM(G144:G146)</f>
        <v>0</v>
      </c>
    </row>
    <row r="144" spans="1:7" ht="15" x14ac:dyDescent="0.35">
      <c r="A144" s="121" t="s">
        <v>417</v>
      </c>
      <c r="B144" s="676">
        <f>SUM(C144:G144)</f>
        <v>0</v>
      </c>
      <c r="C144" s="677">
        <f>+'2-Input - IIFS Liqudity'!I146*'3-Assumptions'!$B114</f>
        <v>0</v>
      </c>
      <c r="D144" s="678">
        <f>+'2-Input - IIFS Liqudity'!J146*'3-Assumptions'!$B114</f>
        <v>0</v>
      </c>
      <c r="E144" s="678">
        <f>+'2-Input - IIFS Liqudity'!K146*'3-Assumptions'!$B114</f>
        <v>0</v>
      </c>
      <c r="F144" s="678">
        <f>+'2-Input - IIFS Liqudity'!L146*'3-Assumptions'!$B114</f>
        <v>0</v>
      </c>
      <c r="G144" s="679">
        <f>+'2-Input - IIFS Liqudity'!M146*'3-Assumptions'!$B114</f>
        <v>0</v>
      </c>
    </row>
    <row r="145" spans="1:7" ht="15" x14ac:dyDescent="0.35">
      <c r="A145" s="121" t="s">
        <v>308</v>
      </c>
      <c r="B145" s="681">
        <f>SUM(C145:G145)</f>
        <v>22937.5</v>
      </c>
      <c r="C145" s="682">
        <f>+'2-Input - IIFS Liqudity'!I147*'3-Assumptions'!$B115</f>
        <v>22937.5</v>
      </c>
      <c r="D145" s="683">
        <f>+'2-Input - IIFS Liqudity'!J147*'3-Assumptions'!$B115</f>
        <v>0</v>
      </c>
      <c r="E145" s="683">
        <f>+'2-Input - IIFS Liqudity'!K147*'3-Assumptions'!$B115</f>
        <v>0</v>
      </c>
      <c r="F145" s="683">
        <f>+'2-Input - IIFS Liqudity'!L147*'3-Assumptions'!$B115</f>
        <v>0</v>
      </c>
      <c r="G145" s="684">
        <f>+'2-Input - IIFS Liqudity'!M147*'3-Assumptions'!$B115</f>
        <v>0</v>
      </c>
    </row>
    <row r="146" spans="1:7" ht="30" x14ac:dyDescent="0.35">
      <c r="A146" s="121" t="s">
        <v>309</v>
      </c>
      <c r="B146" s="686">
        <f>SUM(C146:G146)</f>
        <v>0</v>
      </c>
      <c r="C146" s="687">
        <f>+'2-Input - IIFS Liqudity'!I148*'3-Assumptions'!$B116</f>
        <v>0</v>
      </c>
      <c r="D146" s="688">
        <f>+'2-Input - IIFS Liqudity'!J148*'3-Assumptions'!$B116</f>
        <v>0</v>
      </c>
      <c r="E146" s="688">
        <f>+'2-Input - IIFS Liqudity'!K148*'3-Assumptions'!$B116</f>
        <v>0</v>
      </c>
      <c r="F146" s="688">
        <f>+'2-Input - IIFS Liqudity'!L148*'3-Assumptions'!$B116</f>
        <v>0</v>
      </c>
      <c r="G146" s="689">
        <f>+'2-Input - IIFS Liqudity'!M148*'3-Assumptions'!$B116</f>
        <v>0</v>
      </c>
    </row>
    <row r="147" spans="1:7" ht="15" x14ac:dyDescent="0.35">
      <c r="A147" s="664"/>
      <c r="B147" s="662"/>
      <c r="C147" s="662"/>
      <c r="D147" s="662"/>
      <c r="E147" s="662"/>
      <c r="F147" s="662"/>
      <c r="G147" s="662"/>
    </row>
    <row r="148" spans="1:7" ht="15" x14ac:dyDescent="0.35">
      <c r="A148" s="664"/>
      <c r="B148" s="668" t="str">
        <f t="shared" ref="B148:G148" si="15">+B131</f>
        <v>الإجمالي</v>
      </c>
      <c r="C148" s="669" t="str">
        <f t="shared" si="15"/>
        <v>المؤسسة رقم 1</v>
      </c>
      <c r="D148" s="669" t="str">
        <f t="shared" si="15"/>
        <v>المؤسسة رقم 2</v>
      </c>
      <c r="E148" s="669" t="str">
        <f t="shared" si="15"/>
        <v>المؤسسة رقم 3</v>
      </c>
      <c r="F148" s="669" t="str">
        <f t="shared" si="15"/>
        <v>المؤسسة رقم 4</v>
      </c>
      <c r="G148" s="517" t="str">
        <f t="shared" si="15"/>
        <v>المؤسسة رقم 5</v>
      </c>
    </row>
    <row r="149" spans="1:7" ht="18" customHeight="1" x14ac:dyDescent="0.35">
      <c r="A149" s="753" t="s">
        <v>114</v>
      </c>
      <c r="B149" s="754"/>
      <c r="C149" s="755">
        <f>+C150+C156+C166+C173</f>
        <v>1134644.4190261674</v>
      </c>
      <c r="D149" s="756">
        <f>+D150+D156+D166+D173</f>
        <v>1316766.1918125458</v>
      </c>
      <c r="E149" s="756">
        <f>+E150+E156+E166+E173</f>
        <v>1524144.8194912323</v>
      </c>
      <c r="F149" s="756">
        <f>+F150+F156+F166+F173</f>
        <v>1192909.2421407623</v>
      </c>
      <c r="G149" s="757">
        <f>+G150+G156+G166+G173</f>
        <v>1388452.8335955176</v>
      </c>
    </row>
    <row r="150" spans="1:7" ht="15.75" thickBot="1" x14ac:dyDescent="0.4">
      <c r="A150" s="758" t="s">
        <v>440</v>
      </c>
      <c r="B150" s="671">
        <v>2053849</v>
      </c>
      <c r="C150" s="759">
        <f>C151+C155</f>
        <v>346569</v>
      </c>
      <c r="D150" s="760">
        <f>D151+D155</f>
        <v>503485</v>
      </c>
      <c r="E150" s="760">
        <f>E151+E155</f>
        <v>526308</v>
      </c>
      <c r="F150" s="760">
        <f>F151+F155</f>
        <v>442563</v>
      </c>
      <c r="G150" s="761">
        <f>G151+G155</f>
        <v>234925</v>
      </c>
    </row>
    <row r="151" spans="1:7" ht="15" x14ac:dyDescent="0.35">
      <c r="A151" s="800" t="s">
        <v>322</v>
      </c>
      <c r="B151" s="676">
        <v>2053849</v>
      </c>
      <c r="C151" s="678">
        <f>SUM(C152:C154)</f>
        <v>346569</v>
      </c>
      <c r="D151" s="678">
        <f>SUM(D152:D154)</f>
        <v>503485</v>
      </c>
      <c r="E151" s="678">
        <f>SUM(E152:E154)</f>
        <v>526308</v>
      </c>
      <c r="F151" s="678">
        <f>SUM(F152:F154)</f>
        <v>442563</v>
      </c>
      <c r="G151" s="679">
        <f>SUM(G152:G154)</f>
        <v>234925</v>
      </c>
    </row>
    <row r="152" spans="1:7" ht="15" customHeight="1" x14ac:dyDescent="0.35">
      <c r="A152" s="375" t="s">
        <v>321</v>
      </c>
      <c r="B152" s="681">
        <v>0</v>
      </c>
      <c r="C152" s="683"/>
      <c r="D152" s="683">
        <f>+'2-Input - IIFS Liqudity'!J154*'3-Assumptions'!$G105</f>
        <v>0</v>
      </c>
      <c r="E152" s="683">
        <f>+'2-Input - IIFS Liqudity'!K154*'3-Assumptions'!$G105</f>
        <v>0</v>
      </c>
      <c r="F152" s="683">
        <f>+'2-Input - IIFS Liqudity'!L154*'3-Assumptions'!$G105</f>
        <v>0</v>
      </c>
      <c r="G152" s="684">
        <f>+'2-Input - IIFS Liqudity'!M154*'3-Assumptions'!$G105</f>
        <v>0</v>
      </c>
    </row>
    <row r="153" spans="1:7" ht="15" x14ac:dyDescent="0.35">
      <c r="A153" s="375" t="s">
        <v>149</v>
      </c>
      <c r="B153" s="681">
        <v>281498</v>
      </c>
      <c r="C153" s="682">
        <v>50727</v>
      </c>
      <c r="D153" s="683">
        <v>70868</v>
      </c>
      <c r="E153" s="683">
        <v>66492</v>
      </c>
      <c r="F153" s="683">
        <v>61513</v>
      </c>
      <c r="G153" s="684">
        <v>31898</v>
      </c>
    </row>
    <row r="154" spans="1:7" ht="15" x14ac:dyDescent="0.35">
      <c r="A154" s="375" t="s">
        <v>323</v>
      </c>
      <c r="B154" s="681">
        <v>1772351</v>
      </c>
      <c r="C154" s="682">
        <v>295842</v>
      </c>
      <c r="D154" s="683">
        <v>432617</v>
      </c>
      <c r="E154" s="683">
        <v>459816</v>
      </c>
      <c r="F154" s="683">
        <v>381050</v>
      </c>
      <c r="G154" s="684">
        <v>203027</v>
      </c>
    </row>
    <row r="155" spans="1:7" ht="30" customHeight="1" x14ac:dyDescent="0.2">
      <c r="A155" s="375" t="s">
        <v>399</v>
      </c>
      <c r="B155" s="802">
        <v>0</v>
      </c>
      <c r="C155" s="706"/>
      <c r="D155" s="706">
        <f>+'2-Input - IIFS Liqudity'!J157*'3-Assumptions'!$G108</f>
        <v>0</v>
      </c>
      <c r="E155" s="706">
        <f>+'2-Input - IIFS Liqudity'!K157*'3-Assumptions'!$G108</f>
        <v>0</v>
      </c>
      <c r="F155" s="706">
        <f>+'2-Input - IIFS Liqudity'!L157*'3-Assumptions'!$G108</f>
        <v>0</v>
      </c>
      <c r="G155" s="707">
        <f>+'2-Input - IIFS Liqudity'!M157*'3-Assumptions'!$G108</f>
        <v>0</v>
      </c>
    </row>
    <row r="156" spans="1:7" ht="15.75" thickBot="1" x14ac:dyDescent="0.4">
      <c r="A156" s="762" t="s">
        <v>116</v>
      </c>
      <c r="B156" s="763"/>
      <c r="C156" s="759">
        <f>+C157+C160+C161+C162+C163+C164+C165</f>
        <v>786691.41902616736</v>
      </c>
      <c r="D156" s="760">
        <f>+D157+D160+D161+D162+D163+D164+D165</f>
        <v>804262.44181254576</v>
      </c>
      <c r="E156" s="760">
        <f>+E157+E160+E161+E162+E163+E164+E165</f>
        <v>987585.21949123207</v>
      </c>
      <c r="F156" s="760">
        <f>+F157+F160+F161+F162+F163+F164+F165</f>
        <v>748294.79214076232</v>
      </c>
      <c r="G156" s="761">
        <f>+G157+G160+G161+G162+G163+G164+G165</f>
        <v>1122271.8835955176</v>
      </c>
    </row>
    <row r="157" spans="1:7" ht="30" customHeight="1" x14ac:dyDescent="0.2">
      <c r="A157" s="375" t="s">
        <v>418</v>
      </c>
      <c r="B157" s="801"/>
      <c r="C157" s="698">
        <f>SUM(C158:C159)</f>
        <v>286885.4090261673</v>
      </c>
      <c r="D157" s="699">
        <f>SUM(D158:D159)</f>
        <v>281467.79181254579</v>
      </c>
      <c r="E157" s="699">
        <f>SUM(E158:E159)</f>
        <v>375074.23949123209</v>
      </c>
      <c r="F157" s="699">
        <f>SUM(F158:F159)</f>
        <v>251758.14214076236</v>
      </c>
      <c r="G157" s="700">
        <f>SUM(G158:G159)</f>
        <v>335455.89359551755</v>
      </c>
    </row>
    <row r="158" spans="1:7" ht="15" x14ac:dyDescent="0.2">
      <c r="A158" s="375" t="s">
        <v>149</v>
      </c>
      <c r="B158" s="802">
        <f t="shared" ref="B158:B163" si="16">SUM(C158:G158)</f>
        <v>378041.53393377509</v>
      </c>
      <c r="C158" s="701">
        <f>+'2-Input - IIFS Liqudity'!I160*'3-Assumptions'!$I111</f>
        <v>64536.870973832723</v>
      </c>
      <c r="D158" s="702">
        <f>+'2-Input - IIFS Liqudity'!J160*'3-Assumptions'!$I111</f>
        <v>73647.628187454233</v>
      </c>
      <c r="E158" s="702">
        <f>+'2-Input - IIFS Liqudity'!K160*'3-Assumptions'!$I111</f>
        <v>101370.39050876792</v>
      </c>
      <c r="F158" s="702">
        <f>+'2-Input - IIFS Liqudity'!L160*'3-Assumptions'!$I111</f>
        <v>66542.877859237691</v>
      </c>
      <c r="G158" s="703">
        <f>+'2-Input - IIFS Liqudity'!M160*'3-Assumptions'!$I111</f>
        <v>71943.766404482521</v>
      </c>
    </row>
    <row r="159" spans="1:7" ht="15" x14ac:dyDescent="0.2">
      <c r="A159" s="375" t="s">
        <v>324</v>
      </c>
      <c r="B159" s="802">
        <f t="shared" si="16"/>
        <v>1152599.9421324499</v>
      </c>
      <c r="C159" s="701">
        <f>+'2-Input - IIFS Liqudity'!I161*'3-Assumptions'!$I112</f>
        <v>222348.53805233457</v>
      </c>
      <c r="D159" s="702">
        <f>+'2-Input - IIFS Liqudity'!J161*'3-Assumptions'!$I112</f>
        <v>207820.16362509155</v>
      </c>
      <c r="E159" s="702">
        <f>+'2-Input - IIFS Liqudity'!K161*'3-Assumptions'!$I112</f>
        <v>273703.84898246417</v>
      </c>
      <c r="F159" s="702">
        <f>+'2-Input - IIFS Liqudity'!L161*'3-Assumptions'!$I112</f>
        <v>185215.26428152467</v>
      </c>
      <c r="G159" s="703">
        <f>+'2-Input - IIFS Liqudity'!M161*'3-Assumptions'!$I112</f>
        <v>263512.12719103502</v>
      </c>
    </row>
    <row r="160" spans="1:7" ht="15" x14ac:dyDescent="0.2">
      <c r="A160" s="375" t="s">
        <v>117</v>
      </c>
      <c r="B160" s="802">
        <f t="shared" si="16"/>
        <v>396849.89999999997</v>
      </c>
      <c r="C160" s="701">
        <f>+'2-Input - IIFS Liqudity'!I162*'3-Assumptions'!$I113</f>
        <v>67736.75</v>
      </c>
      <c r="D160" s="702">
        <f>+'2-Input - IIFS Liqudity'!J162*'3-Assumptions'!$I113</f>
        <v>86907</v>
      </c>
      <c r="E160" s="702">
        <f>+'2-Input - IIFS Liqudity'!K162*'3-Assumptions'!$I113</f>
        <v>94563.5</v>
      </c>
      <c r="F160" s="702">
        <f>+'2-Input - IIFS Liqudity'!L162*'3-Assumptions'!$I113</f>
        <v>57211.100000000006</v>
      </c>
      <c r="G160" s="703">
        <f>+'2-Input - IIFS Liqudity'!M162*'3-Assumptions'!$I113</f>
        <v>90431.55</v>
      </c>
    </row>
    <row r="161" spans="1:7" ht="15" x14ac:dyDescent="0.2">
      <c r="A161" s="375" t="s">
        <v>118</v>
      </c>
      <c r="B161" s="802">
        <f t="shared" si="16"/>
        <v>0</v>
      </c>
      <c r="C161" s="701">
        <f>+'2-Input - IIFS Liqudity'!I163*'3-Assumptions'!$I114</f>
        <v>0</v>
      </c>
      <c r="D161" s="702">
        <f>+'2-Input - IIFS Liqudity'!J163*'3-Assumptions'!$I114</f>
        <v>0</v>
      </c>
      <c r="E161" s="702">
        <f>+'2-Input - IIFS Liqudity'!K163*'3-Assumptions'!$I114</f>
        <v>0</v>
      </c>
      <c r="F161" s="702">
        <f>+'2-Input - IIFS Liqudity'!L163*'3-Assumptions'!$I114</f>
        <v>0</v>
      </c>
      <c r="G161" s="703">
        <f>+'2-Input - IIFS Liqudity'!M163*'3-Assumptions'!$I114</f>
        <v>0</v>
      </c>
    </row>
    <row r="162" spans="1:7" ht="30" x14ac:dyDescent="0.2">
      <c r="A162" s="375" t="s">
        <v>150</v>
      </c>
      <c r="B162" s="802">
        <f t="shared" si="16"/>
        <v>247862.90000000002</v>
      </c>
      <c r="C162" s="701">
        <f>+'2-Input - IIFS Liqudity'!I164*'3-Assumptions'!$I115</f>
        <v>78497.100000000006</v>
      </c>
      <c r="D162" s="702">
        <f>+'2-Input - IIFS Liqudity'!J164*'3-Assumptions'!$I115</f>
        <v>30937.25</v>
      </c>
      <c r="E162" s="702">
        <f>+'2-Input - IIFS Liqudity'!K164*'3-Assumptions'!$I115</f>
        <v>64710</v>
      </c>
      <c r="F162" s="702">
        <f>+'2-Input - IIFS Liqudity'!L164*'3-Assumptions'!$I115</f>
        <v>28605.550000000003</v>
      </c>
      <c r="G162" s="703">
        <f>+'2-Input - IIFS Liqudity'!M164*'3-Assumptions'!$I115</f>
        <v>45113</v>
      </c>
    </row>
    <row r="163" spans="1:7" ht="30" x14ac:dyDescent="0.2">
      <c r="A163" s="375" t="s">
        <v>120</v>
      </c>
      <c r="B163" s="802">
        <f t="shared" si="16"/>
        <v>2273751.48</v>
      </c>
      <c r="C163" s="701">
        <f>+'2-Input - IIFS Liqudity'!I165*'3-Assumptions'!$I116</f>
        <v>353572.16000000003</v>
      </c>
      <c r="D163" s="702">
        <f>+'2-Input - IIFS Liqudity'!J165*'3-Assumptions'!$I116</f>
        <v>404950.4</v>
      </c>
      <c r="E163" s="702">
        <f>+'2-Input - IIFS Liqudity'!K165*'3-Assumptions'!$I116</f>
        <v>453237.48</v>
      </c>
      <c r="F163" s="702">
        <f>+'2-Input - IIFS Liqudity'!L165*'3-Assumptions'!$I116</f>
        <v>410720</v>
      </c>
      <c r="G163" s="703">
        <f>+'2-Input - IIFS Liqudity'!M165*'3-Assumptions'!$I116</f>
        <v>651271.44000000006</v>
      </c>
    </row>
    <row r="164" spans="1:7" ht="15" x14ac:dyDescent="0.2">
      <c r="A164" s="375" t="s">
        <v>121</v>
      </c>
      <c r="B164" s="802">
        <f>SUM(C164:G164)</f>
        <v>0</v>
      </c>
      <c r="C164" s="701">
        <f>+'2-Input - IIFS Liqudity'!I166*'3-Assumptions'!$I117</f>
        <v>0</v>
      </c>
      <c r="D164" s="702">
        <f>+'2-Input - IIFS Liqudity'!J166*'3-Assumptions'!$I117</f>
        <v>0</v>
      </c>
      <c r="E164" s="702">
        <f>+'2-Input - IIFS Liqudity'!K166*'3-Assumptions'!$I117</f>
        <v>0</v>
      </c>
      <c r="F164" s="702">
        <f>+'2-Input - IIFS Liqudity'!L166*'3-Assumptions'!$I117</f>
        <v>0</v>
      </c>
      <c r="G164" s="703">
        <f>+'2-Input - IIFS Liqudity'!M166*'3-Assumptions'!$I117</f>
        <v>0</v>
      </c>
    </row>
    <row r="165" spans="1:7" ht="15" x14ac:dyDescent="0.2">
      <c r="A165" s="375" t="s">
        <v>122</v>
      </c>
      <c r="B165" s="803">
        <f>SUM(C165:G165)</f>
        <v>0</v>
      </c>
      <c r="C165" s="705">
        <f>+'2-Input - IIFS Liqudity'!I167*'3-Assumptions'!$I118</f>
        <v>0</v>
      </c>
      <c r="D165" s="706">
        <f>+'2-Input - IIFS Liqudity'!J167*'3-Assumptions'!$I118</f>
        <v>0</v>
      </c>
      <c r="E165" s="706">
        <f>+'2-Input - IIFS Liqudity'!K167*'3-Assumptions'!$I118</f>
        <v>0</v>
      </c>
      <c r="F165" s="706">
        <f>+'2-Input - IIFS Liqudity'!L167*'3-Assumptions'!$I118</f>
        <v>0</v>
      </c>
      <c r="G165" s="707">
        <f>+'2-Input - IIFS Liqudity'!M167*'3-Assumptions'!$I118</f>
        <v>0</v>
      </c>
    </row>
    <row r="166" spans="1:7" ht="15.75" thickBot="1" x14ac:dyDescent="0.25">
      <c r="A166" s="762" t="s">
        <v>23</v>
      </c>
      <c r="B166" s="764"/>
      <c r="C166" s="741">
        <f>SUM(C167:C172)</f>
        <v>1384</v>
      </c>
      <c r="D166" s="742">
        <f>SUM(D167:D172)</f>
        <v>9018.75</v>
      </c>
      <c r="E166" s="742">
        <f>SUM(E167:E172)</f>
        <v>10251.599999999999</v>
      </c>
      <c r="F166" s="742">
        <f>SUM(F167:F172)</f>
        <v>2051.4499999999998</v>
      </c>
      <c r="G166" s="743">
        <f>SUM(G167:G172)</f>
        <v>31255.949999999997</v>
      </c>
    </row>
    <row r="167" spans="1:7" ht="30" x14ac:dyDescent="0.2">
      <c r="A167" s="375" t="s">
        <v>441</v>
      </c>
      <c r="B167" s="801">
        <f t="shared" ref="B167:B172" si="17">SUM(C167:G167)</f>
        <v>0</v>
      </c>
      <c r="C167" s="698">
        <f>'2-Input - IIFS Liqudity'!I169*'3-Assumptions'!$I120</f>
        <v>0</v>
      </c>
      <c r="D167" s="699">
        <f>'2-Input - IIFS Liqudity'!J169*'3-Assumptions'!$I120</f>
        <v>0</v>
      </c>
      <c r="E167" s="699">
        <f>'2-Input - IIFS Liqudity'!K169*'3-Assumptions'!$I120</f>
        <v>0</v>
      </c>
      <c r="F167" s="699">
        <f>'2-Input - IIFS Liqudity'!L169*'3-Assumptions'!$I120</f>
        <v>0</v>
      </c>
      <c r="G167" s="700">
        <f>'2-Input - IIFS Liqudity'!M169*'3-Assumptions'!$I120</f>
        <v>0</v>
      </c>
    </row>
    <row r="168" spans="1:7" ht="15" x14ac:dyDescent="0.2">
      <c r="A168" s="375" t="s">
        <v>420</v>
      </c>
      <c r="B168" s="802">
        <f t="shared" si="17"/>
        <v>25560.75</v>
      </c>
      <c r="C168" s="701">
        <f>'2-Input - IIFS Liqudity'!I170*'3-Assumptions'!$I121</f>
        <v>655.5</v>
      </c>
      <c r="D168" s="702">
        <f>'2-Input - IIFS Liqudity'!J170*'3-Assumptions'!$I121</f>
        <v>4272</v>
      </c>
      <c r="E168" s="702">
        <f>'2-Input - IIFS Liqudity'!K170*'3-Assumptions'!$I121</f>
        <v>4856.0999999999995</v>
      </c>
      <c r="F168" s="702">
        <f>'2-Input - IIFS Liqudity'!L170*'3-Assumptions'!$I121</f>
        <v>971.69999999999993</v>
      </c>
      <c r="G168" s="703">
        <f>'2-Input - IIFS Liqudity'!M170*'3-Assumptions'!$I121</f>
        <v>14805.449999999999</v>
      </c>
    </row>
    <row r="169" spans="1:7" ht="30" x14ac:dyDescent="0.2">
      <c r="A169" s="375" t="s">
        <v>421</v>
      </c>
      <c r="B169" s="802">
        <f t="shared" si="17"/>
        <v>28401</v>
      </c>
      <c r="C169" s="701">
        <f>'2-Input - IIFS Liqudity'!I171*'3-Assumptions'!$I122</f>
        <v>728.5</v>
      </c>
      <c r="D169" s="702">
        <f>'2-Input - IIFS Liqudity'!J171*'3-Assumptions'!$I122</f>
        <v>4746.75</v>
      </c>
      <c r="E169" s="702">
        <f>'2-Input - IIFS Liqudity'!K171*'3-Assumptions'!$I122</f>
        <v>5395.5</v>
      </c>
      <c r="F169" s="702">
        <f>'2-Input - IIFS Liqudity'!L171*'3-Assumptions'!$I122</f>
        <v>1079.75</v>
      </c>
      <c r="G169" s="703">
        <f>'2-Input - IIFS Liqudity'!M171*'3-Assumptions'!$I122</f>
        <v>16450.5</v>
      </c>
    </row>
    <row r="170" spans="1:7" ht="30" x14ac:dyDescent="0.2">
      <c r="A170" s="375" t="s">
        <v>422</v>
      </c>
      <c r="B170" s="802">
        <f t="shared" si="17"/>
        <v>0</v>
      </c>
      <c r="C170" s="701">
        <f>'2-Input - IIFS Liqudity'!I172*'3-Assumptions'!$I123</f>
        <v>0</v>
      </c>
      <c r="D170" s="702">
        <f>'2-Input - IIFS Liqudity'!J172*'3-Assumptions'!$I123</f>
        <v>0</v>
      </c>
      <c r="E170" s="702">
        <f>'2-Input - IIFS Liqudity'!K172*'3-Assumptions'!$I123</f>
        <v>0</v>
      </c>
      <c r="F170" s="702">
        <f>'2-Input - IIFS Liqudity'!L172*'3-Assumptions'!$I123</f>
        <v>0</v>
      </c>
      <c r="G170" s="703">
        <f>'2-Input - IIFS Liqudity'!M172*'3-Assumptions'!$I123</f>
        <v>0</v>
      </c>
    </row>
    <row r="171" spans="1:7" ht="15" x14ac:dyDescent="0.2">
      <c r="A171" s="375" t="s">
        <v>413</v>
      </c>
      <c r="B171" s="802">
        <f t="shared" si="17"/>
        <v>0</v>
      </c>
      <c r="C171" s="701">
        <f>'2-Input - IIFS Liqudity'!I173*'3-Assumptions'!$I124</f>
        <v>0</v>
      </c>
      <c r="D171" s="702">
        <f>'2-Input - IIFS Liqudity'!J173*'3-Assumptions'!$I124</f>
        <v>0</v>
      </c>
      <c r="E171" s="702">
        <f>'2-Input - IIFS Liqudity'!K173*'3-Assumptions'!$I124</f>
        <v>0</v>
      </c>
      <c r="F171" s="702">
        <f>'2-Input - IIFS Liqudity'!L173*'3-Assumptions'!$I124</f>
        <v>0</v>
      </c>
      <c r="G171" s="703">
        <f>'2-Input - IIFS Liqudity'!M173*'3-Assumptions'!$I124</f>
        <v>0</v>
      </c>
    </row>
    <row r="172" spans="1:7" ht="15" x14ac:dyDescent="0.2">
      <c r="A172" s="375" t="s">
        <v>123</v>
      </c>
      <c r="B172" s="803">
        <f t="shared" si="17"/>
        <v>0</v>
      </c>
      <c r="C172" s="705">
        <f>'2-Input - IIFS Liqudity'!I174*'3-Assumptions'!$I125</f>
        <v>0</v>
      </c>
      <c r="D172" s="706">
        <f>'2-Input - IIFS Liqudity'!J174*'3-Assumptions'!$I125</f>
        <v>0</v>
      </c>
      <c r="E172" s="706">
        <f>'2-Input - IIFS Liqudity'!K174*'3-Assumptions'!$I125</f>
        <v>0</v>
      </c>
      <c r="F172" s="706">
        <f>'2-Input - IIFS Liqudity'!L174*'3-Assumptions'!$I125</f>
        <v>0</v>
      </c>
      <c r="G172" s="707">
        <f>'2-Input - IIFS Liqudity'!M174*'3-Assumptions'!$I125</f>
        <v>0</v>
      </c>
    </row>
    <row r="173" spans="1:7" ht="15.75" thickBot="1" x14ac:dyDescent="0.25">
      <c r="A173" s="762" t="s">
        <v>63</v>
      </c>
      <c r="B173" s="765"/>
      <c r="C173" s="766">
        <f>SUM(C174:C187)</f>
        <v>0</v>
      </c>
      <c r="D173" s="767">
        <f>SUM(D174:D187)</f>
        <v>0</v>
      </c>
      <c r="E173" s="767">
        <f>SUM(E174:E187)</f>
        <v>0</v>
      </c>
      <c r="F173" s="767">
        <f>SUM(F174:F187)</f>
        <v>0</v>
      </c>
      <c r="G173" s="768">
        <f>SUM(G174:G187)</f>
        <v>0</v>
      </c>
    </row>
    <row r="174" spans="1:7" ht="15" x14ac:dyDescent="0.35">
      <c r="A174" s="375" t="str">
        <f>'2-Input - IIFS Liqudity'!C176</f>
        <v>أدوات التحوط المتوافق مع أحكام الشريعة ومبادئها</v>
      </c>
      <c r="B174" s="676">
        <f t="shared" ref="B174:B187" si="18">SUM(C174:G174)</f>
        <v>0</v>
      </c>
      <c r="C174" s="677">
        <f>'2-Input - IIFS Liqudity'!I176*'3-Assumptions'!$I127</f>
        <v>0</v>
      </c>
      <c r="D174" s="678">
        <f>'2-Input - IIFS Liqudity'!J176*'3-Assumptions'!$I127</f>
        <v>0</v>
      </c>
      <c r="E174" s="678">
        <f>'2-Input - IIFS Liqudity'!K176*'3-Assumptions'!$I127</f>
        <v>0</v>
      </c>
      <c r="F174" s="678">
        <f>'2-Input - IIFS Liqudity'!L176*'3-Assumptions'!$I127</f>
        <v>0</v>
      </c>
      <c r="G174" s="679">
        <f>'2-Input - IIFS Liqudity'!M176*'3-Assumptions'!$I127</f>
        <v>0</v>
      </c>
    </row>
    <row r="175" spans="1:7" ht="15" x14ac:dyDescent="0.35">
      <c r="A175" s="375" t="str">
        <f>'2-Input - IIFS Liqudity'!C177</f>
        <v>التسهيلات الائتمانية وتسهيلات السيولة غير المسحوبة الممنوحة لعملاء التجزئة والشركات الصغيرة</v>
      </c>
      <c r="B175" s="681">
        <f t="shared" si="18"/>
        <v>0</v>
      </c>
      <c r="C175" s="682">
        <f>'2-Input - IIFS Liqudity'!I177*'3-Assumptions'!$I128</f>
        <v>0</v>
      </c>
      <c r="D175" s="683">
        <f>'2-Input - IIFS Liqudity'!J177*'3-Assumptions'!$I128</f>
        <v>0</v>
      </c>
      <c r="E175" s="683">
        <f>'2-Input - IIFS Liqudity'!K177*'3-Assumptions'!$I128</f>
        <v>0</v>
      </c>
      <c r="F175" s="683">
        <f>'2-Input - IIFS Liqudity'!L177*'3-Assumptions'!$I128</f>
        <v>0</v>
      </c>
      <c r="G175" s="684">
        <f>'2-Input - IIFS Liqudity'!M177*'3-Assumptions'!$I128</f>
        <v>0</v>
      </c>
    </row>
    <row r="176" spans="1:7" ht="30" x14ac:dyDescent="0.35">
      <c r="A176" s="375" t="str">
        <f>'2-Input - IIFS Liqudity'!C178</f>
        <v>التسهيلات الائتمانية غير المسحوبة الممنوحة للمؤسسات غير المالية، والكيانات السيادية، والبنوك المركزية، وكيانات القطاع العام، ومصارف التنمية متعددة الأطراف</v>
      </c>
      <c r="B176" s="681">
        <f t="shared" si="18"/>
        <v>0</v>
      </c>
      <c r="C176" s="682">
        <f>'2-Input - IIFS Liqudity'!I178*'3-Assumptions'!$I129</f>
        <v>0</v>
      </c>
      <c r="D176" s="683">
        <f>'2-Input - IIFS Liqudity'!J178*'3-Assumptions'!$I129</f>
        <v>0</v>
      </c>
      <c r="E176" s="683">
        <f>'2-Input - IIFS Liqudity'!K178*'3-Assumptions'!$I129</f>
        <v>0</v>
      </c>
      <c r="F176" s="683">
        <f>'2-Input - IIFS Liqudity'!L178*'3-Assumptions'!$I129</f>
        <v>0</v>
      </c>
      <c r="G176" s="684">
        <f>'2-Input - IIFS Liqudity'!M178*'3-Assumptions'!$I129</f>
        <v>0</v>
      </c>
    </row>
    <row r="177" spans="1:26" ht="15" x14ac:dyDescent="0.35">
      <c r="A177" s="375" t="str">
        <f>'2-Input - IIFS Liqudity'!C179</f>
        <v>الالتزامات التعاقدية الأخرى المقدمة للمؤسسات المالية</v>
      </c>
      <c r="B177" s="681">
        <f t="shared" si="18"/>
        <v>0</v>
      </c>
      <c r="C177" s="682">
        <f>'2-Input - IIFS Liqudity'!I179*'3-Assumptions'!$I130</f>
        <v>0</v>
      </c>
      <c r="D177" s="683">
        <f>'2-Input - IIFS Liqudity'!J179*'3-Assumptions'!$I130</f>
        <v>0</v>
      </c>
      <c r="E177" s="683">
        <f>'2-Input - IIFS Liqudity'!K179*'3-Assumptions'!$I130</f>
        <v>0</v>
      </c>
      <c r="F177" s="683">
        <f>'2-Input - IIFS Liqudity'!L179*'3-Assumptions'!$I130</f>
        <v>0</v>
      </c>
      <c r="G177" s="684">
        <f>'2-Input - IIFS Liqudity'!M179*'3-Assumptions'!$I130</f>
        <v>0</v>
      </c>
    </row>
    <row r="178" spans="1:26" ht="15" x14ac:dyDescent="0.35">
      <c r="A178" s="375" t="str">
        <f>'2-Input - IIFS Liqudity'!C180</f>
        <v>التمويل التجاري</v>
      </c>
      <c r="B178" s="681">
        <f t="shared" si="18"/>
        <v>0</v>
      </c>
      <c r="C178" s="682">
        <f>'2-Input - IIFS Liqudity'!I180*'3-Assumptions'!$I131</f>
        <v>0</v>
      </c>
      <c r="D178" s="683">
        <f>'2-Input - IIFS Liqudity'!J180*'3-Assumptions'!$I131</f>
        <v>0</v>
      </c>
      <c r="E178" s="683">
        <f>'2-Input - IIFS Liqudity'!K180*'3-Assumptions'!$I131</f>
        <v>0</v>
      </c>
      <c r="F178" s="683">
        <f>'2-Input - IIFS Liqudity'!L180*'3-Assumptions'!$I131</f>
        <v>0</v>
      </c>
      <c r="G178" s="684">
        <f>'2-Input - IIFS Liqudity'!M180*'3-Assumptions'!$I131</f>
        <v>0</v>
      </c>
    </row>
    <row r="179" spans="1:26" ht="15" x14ac:dyDescent="0.35">
      <c r="A179" s="375" t="str">
        <f>'2-Input - IIFS Liqudity'!C181</f>
        <v>أي تدفقات نقدية صادرة تعاقدية إضافية</v>
      </c>
      <c r="B179" s="681">
        <f t="shared" si="18"/>
        <v>0</v>
      </c>
      <c r="C179" s="682">
        <f>'2-Input - IIFS Liqudity'!I181*'3-Assumptions'!$I132</f>
        <v>0</v>
      </c>
      <c r="D179" s="683">
        <f>'2-Input - IIFS Liqudity'!J181*'3-Assumptions'!$I132</f>
        <v>0</v>
      </c>
      <c r="E179" s="683">
        <f>'2-Input - IIFS Liqudity'!K181*'3-Assumptions'!$I132</f>
        <v>0</v>
      </c>
      <c r="F179" s="683">
        <f>'2-Input - IIFS Liqudity'!L181*'3-Assumptions'!$I132</f>
        <v>0</v>
      </c>
      <c r="G179" s="684">
        <f>'2-Input - IIFS Liqudity'!M181*'3-Assumptions'!$I132</f>
        <v>0</v>
      </c>
    </row>
    <row r="180" spans="1:26" ht="15" x14ac:dyDescent="0.35">
      <c r="A180" s="375" t="str">
        <f>'2-Input - IIFS Liqudity'!C182</f>
        <v>أي تدفقات نقدية صادرة تعاقدية أخرى</v>
      </c>
      <c r="B180" s="681">
        <f t="shared" si="18"/>
        <v>0</v>
      </c>
      <c r="C180" s="682">
        <f>'2-Input - IIFS Liqudity'!I182*'3-Assumptions'!$I133</f>
        <v>0</v>
      </c>
      <c r="D180" s="683">
        <f>'2-Input - IIFS Liqudity'!J182*'3-Assumptions'!$I133</f>
        <v>0</v>
      </c>
      <c r="E180" s="683">
        <f>'2-Input - IIFS Liqudity'!K182*'3-Assumptions'!$I133</f>
        <v>0</v>
      </c>
      <c r="F180" s="683">
        <f>'2-Input - IIFS Liqudity'!L182*'3-Assumptions'!$I133</f>
        <v>0</v>
      </c>
      <c r="G180" s="684">
        <f>'2-Input - IIFS Liqudity'!M182*'3-Assumptions'!$I133</f>
        <v>0</v>
      </c>
    </row>
    <row r="181" spans="1:26" ht="15" x14ac:dyDescent="0.35">
      <c r="A181" s="375" t="str">
        <f>'2-Input - IIFS Liqudity'!C183</f>
        <v>التمويل المضمون والمدعوم بموجودات من المستوى 1</v>
      </c>
      <c r="B181" s="681">
        <f t="shared" si="18"/>
        <v>0</v>
      </c>
      <c r="C181" s="682">
        <f>'2-Input - IIFS Liqudity'!I183*'3-Assumptions'!$I134</f>
        <v>0</v>
      </c>
      <c r="D181" s="683">
        <f>'2-Input - IIFS Liqudity'!J183*'3-Assumptions'!$I134</f>
        <v>0</v>
      </c>
      <c r="E181" s="683">
        <f>'2-Input - IIFS Liqudity'!K183*'3-Assumptions'!$I134</f>
        <v>0</v>
      </c>
      <c r="F181" s="683">
        <f>'2-Input - IIFS Liqudity'!L183*'3-Assumptions'!$I134</f>
        <v>0</v>
      </c>
      <c r="G181" s="684">
        <f>'2-Input - IIFS Liqudity'!M183*'3-Assumptions'!$I134</f>
        <v>0</v>
      </c>
    </row>
    <row r="182" spans="1:26" ht="15" x14ac:dyDescent="0.35">
      <c r="A182" s="375" t="str">
        <f>'2-Input - IIFS Liqudity'!C184</f>
        <v>التمويل المضمون والمدعوم بموجودات من المستوى 2</v>
      </c>
      <c r="B182" s="681">
        <f t="shared" si="18"/>
        <v>0</v>
      </c>
      <c r="C182" s="682">
        <f>'2-Input - IIFS Liqudity'!I184*'3-Assumptions'!$I135</f>
        <v>0</v>
      </c>
      <c r="D182" s="683">
        <f>'2-Input - IIFS Liqudity'!J184*'3-Assumptions'!$I135</f>
        <v>0</v>
      </c>
      <c r="E182" s="683">
        <f>'2-Input - IIFS Liqudity'!K184*'3-Assumptions'!$I135</f>
        <v>0</v>
      </c>
      <c r="F182" s="683">
        <f>'2-Input - IIFS Liqudity'!L184*'3-Assumptions'!$I135</f>
        <v>0</v>
      </c>
      <c r="G182" s="684">
        <f>'2-Input - IIFS Liqudity'!M184*'3-Assumptions'!$I135</f>
        <v>0</v>
      </c>
    </row>
    <row r="183" spans="1:26" ht="15" x14ac:dyDescent="0.35">
      <c r="A183" s="375" t="str">
        <f>'2-Input - IIFS Liqudity'!C185</f>
        <v>التمويل المضمون والمدعوم بموجودات أخرى ذات قيمة (قريبة من المستوى 2)</v>
      </c>
      <c r="B183" s="681">
        <f t="shared" si="18"/>
        <v>0</v>
      </c>
      <c r="C183" s="682">
        <f>'2-Input - IIFS Liqudity'!I185*'3-Assumptions'!$I136</f>
        <v>0</v>
      </c>
      <c r="D183" s="683">
        <f>'2-Input - IIFS Liqudity'!J185*'3-Assumptions'!$I136</f>
        <v>0</v>
      </c>
      <c r="E183" s="683">
        <f>'2-Input - IIFS Liqudity'!K185*'3-Assumptions'!$I136</f>
        <v>0</v>
      </c>
      <c r="F183" s="683">
        <f>'2-Input - IIFS Liqudity'!L185*'3-Assumptions'!$I136</f>
        <v>0</v>
      </c>
      <c r="G183" s="684">
        <f>'2-Input - IIFS Liqudity'!M185*'3-Assumptions'!$I136</f>
        <v>0</v>
      </c>
    </row>
    <row r="184" spans="1:26" ht="15" x14ac:dyDescent="0.35">
      <c r="A184" s="375" t="str">
        <f>'2-Input - IIFS Liqudity'!C186</f>
        <v>الرهونات اللازمة في حالة تخفيض التصنيف الائتماني بمقدار 3 درجات</v>
      </c>
      <c r="B184" s="681">
        <f t="shared" si="18"/>
        <v>0</v>
      </c>
      <c r="C184" s="682">
        <f>'2-Input - IIFS Liqudity'!I186*'3-Assumptions'!$I137</f>
        <v>0</v>
      </c>
      <c r="D184" s="683">
        <f>'2-Input - IIFS Liqudity'!J186*'3-Assumptions'!$I137</f>
        <v>0</v>
      </c>
      <c r="E184" s="683">
        <f>'2-Input - IIFS Liqudity'!K186*'3-Assumptions'!$I137</f>
        <v>0</v>
      </c>
      <c r="F184" s="683">
        <f>'2-Input - IIFS Liqudity'!L186*'3-Assumptions'!$I137</f>
        <v>0</v>
      </c>
      <c r="G184" s="684">
        <f>'2-Input - IIFS Liqudity'!M186*'3-Assumptions'!$I137</f>
        <v>0</v>
      </c>
    </row>
    <row r="185" spans="1:26" ht="15" x14ac:dyDescent="0.35">
      <c r="A185" s="375" t="str">
        <f>'2-Input - IIFS Liqudity'!C187</f>
        <v>التسهيلات الائتمانية غير المسحوبة والملتزم بها الممنوحة لعملاء التجزئة والشركات الصغيرة</v>
      </c>
      <c r="B185" s="681">
        <f t="shared" si="18"/>
        <v>0</v>
      </c>
      <c r="C185" s="682">
        <f>'2-Input - IIFS Liqudity'!I187*'3-Assumptions'!$I138</f>
        <v>0</v>
      </c>
      <c r="D185" s="683">
        <f>'2-Input - IIFS Liqudity'!J187*'3-Assumptions'!$I138</f>
        <v>0</v>
      </c>
      <c r="E185" s="683">
        <f>'2-Input - IIFS Liqudity'!K187*'3-Assumptions'!$I138</f>
        <v>0</v>
      </c>
      <c r="F185" s="683">
        <f>'2-Input - IIFS Liqudity'!L187*'3-Assumptions'!$I138</f>
        <v>0</v>
      </c>
      <c r="G185" s="684">
        <f>'2-Input - IIFS Liqudity'!M187*'3-Assumptions'!$I138</f>
        <v>0</v>
      </c>
    </row>
    <row r="186" spans="1:26" ht="15" x14ac:dyDescent="0.35">
      <c r="A186" s="375" t="str">
        <f>'2-Input - IIFS Liqudity'!C188</f>
        <v>التسهيلات الائتمانية غير المسحوبة والملتزم بها</v>
      </c>
      <c r="B186" s="681">
        <f t="shared" si="18"/>
        <v>0</v>
      </c>
      <c r="C186" s="682">
        <f>'2-Input - IIFS Liqudity'!I188*'3-Assumptions'!$I139</f>
        <v>0</v>
      </c>
      <c r="D186" s="683">
        <f>'2-Input - IIFS Liqudity'!J188*'3-Assumptions'!$I139</f>
        <v>0</v>
      </c>
      <c r="E186" s="683">
        <f>'2-Input - IIFS Liqudity'!K188*'3-Assumptions'!$I139</f>
        <v>0</v>
      </c>
      <c r="F186" s="683">
        <f>'2-Input - IIFS Liqudity'!L188*'3-Assumptions'!$I139</f>
        <v>0</v>
      </c>
      <c r="G186" s="684">
        <f>'2-Input - IIFS Liqudity'!M188*'3-Assumptions'!$I139</f>
        <v>0</v>
      </c>
    </row>
    <row r="187" spans="1:26" ht="30" customHeight="1" x14ac:dyDescent="0.35">
      <c r="A187" s="884" t="str">
        <f>'2-Input - IIFS Liqudity'!C189</f>
        <v xml:space="preserve">التزامات التمويل المحتملة الأخرى والتحوط المتوافق مع أحكام الشريعة ومبادئها (مثل الضمانات وخطابات الاعتماد والتسهيلات الائتمانية وتسهيلات السيولة القابلة للإلغاء وما إلى ذلك) </v>
      </c>
      <c r="B187" s="803">
        <f t="shared" si="18"/>
        <v>0</v>
      </c>
      <c r="C187" s="705">
        <f>'2-Input - IIFS Liqudity'!I189*'3-Assumptions'!$I140</f>
        <v>0</v>
      </c>
      <c r="D187" s="706">
        <f>'2-Input - IIFS Liqudity'!J189*'3-Assumptions'!$I140</f>
        <v>0</v>
      </c>
      <c r="E187" s="706">
        <f>'2-Input - IIFS Liqudity'!K189*'3-Assumptions'!$I140</f>
        <v>0</v>
      </c>
      <c r="F187" s="706">
        <f>'2-Input - IIFS Liqudity'!L189*'3-Assumptions'!$I140</f>
        <v>0</v>
      </c>
      <c r="G187" s="707">
        <f>'2-Input - IIFS Liqudity'!M189*'3-Assumptions'!$I140</f>
        <v>0</v>
      </c>
    </row>
    <row r="188" spans="1:26" ht="15" x14ac:dyDescent="0.35">
      <c r="A188" s="664"/>
      <c r="B188" s="662"/>
      <c r="C188" s="662"/>
      <c r="D188" s="662"/>
      <c r="E188" s="662"/>
      <c r="F188" s="662"/>
      <c r="G188" s="662"/>
    </row>
    <row r="189" spans="1:26" ht="15" x14ac:dyDescent="0.35">
      <c r="A189" s="664"/>
      <c r="B189" s="662"/>
      <c r="C189" s="662"/>
      <c r="D189" s="662"/>
      <c r="E189" s="662"/>
      <c r="F189" s="662"/>
      <c r="G189" s="662"/>
    </row>
    <row r="190" spans="1:26" s="23" customFormat="1" ht="15" x14ac:dyDescent="0.35">
      <c r="A190" s="769" t="s">
        <v>206</v>
      </c>
      <c r="B190" s="770"/>
      <c r="C190" s="770"/>
      <c r="D190" s="770"/>
      <c r="E190" s="770"/>
      <c r="F190" s="1053"/>
      <c r="G190" s="1054"/>
      <c r="H190" s="29"/>
      <c r="I190" s="29"/>
      <c r="J190" s="29"/>
      <c r="K190" s="29"/>
      <c r="L190" s="29"/>
      <c r="M190" s="29"/>
      <c r="N190" s="29"/>
      <c r="O190" s="29"/>
      <c r="P190" s="29"/>
      <c r="Q190" s="29"/>
      <c r="R190" s="29"/>
      <c r="S190" s="29"/>
      <c r="T190" s="29"/>
      <c r="U190" s="29"/>
      <c r="V190" s="29"/>
      <c r="W190" s="29"/>
      <c r="X190" s="29"/>
      <c r="Y190" s="29"/>
      <c r="Z190" s="29"/>
    </row>
    <row r="191" spans="1:26" ht="15" x14ac:dyDescent="0.35">
      <c r="A191" s="664"/>
      <c r="B191" s="668" t="str">
        <f t="shared" ref="B191:G191" si="19">+B131</f>
        <v>الإجمالي</v>
      </c>
      <c r="C191" s="517" t="str">
        <f t="shared" si="19"/>
        <v>المؤسسة رقم 1</v>
      </c>
      <c r="D191" s="517" t="str">
        <f t="shared" si="19"/>
        <v>المؤسسة رقم 2</v>
      </c>
      <c r="E191" s="517" t="str">
        <f t="shared" si="19"/>
        <v>المؤسسة رقم 3</v>
      </c>
      <c r="F191" s="517" t="str">
        <f t="shared" si="19"/>
        <v>المؤسسة رقم 4</v>
      </c>
      <c r="G191" s="517" t="str">
        <f t="shared" si="19"/>
        <v>المؤسسة رقم 5</v>
      </c>
    </row>
    <row r="192" spans="1:26" ht="15" x14ac:dyDescent="0.35">
      <c r="A192" s="753" t="s">
        <v>25</v>
      </c>
      <c r="B192" s="676">
        <f t="shared" ref="B192:B197" si="20">SUM(C192:G192)</f>
        <v>14935679.550000001</v>
      </c>
      <c r="C192" s="755">
        <f>SUM(C193:C197)</f>
        <v>3919197.1</v>
      </c>
      <c r="D192" s="756">
        <f>SUM(D193:D197)</f>
        <v>3641192.8</v>
      </c>
      <c r="E192" s="756">
        <f>SUM(E193:E197)</f>
        <v>2769719.5</v>
      </c>
      <c r="F192" s="756">
        <f>SUM(F193:F197)</f>
        <v>2587930</v>
      </c>
      <c r="G192" s="757">
        <f>SUM(G193:G197)</f>
        <v>2017640.15</v>
      </c>
    </row>
    <row r="193" spans="1:7" ht="30" x14ac:dyDescent="0.2">
      <c r="A193" s="116" t="s">
        <v>433</v>
      </c>
      <c r="B193" s="801">
        <f t="shared" si="20"/>
        <v>114942</v>
      </c>
      <c r="C193" s="698">
        <f>+'2-Input - IIFS Liqudity'!I193*'3-Assumptions'!$B146</f>
        <v>0</v>
      </c>
      <c r="D193" s="699">
        <f>+'2-Input - IIFS Liqudity'!J193*'3-Assumptions'!$B146</f>
        <v>21789</v>
      </c>
      <c r="E193" s="699">
        <f>+'2-Input - IIFS Liqudity'!K193*'3-Assumptions'!$B146</f>
        <v>30260</v>
      </c>
      <c r="F193" s="699">
        <f>+'2-Input - IIFS Liqudity'!L193*'3-Assumptions'!$B146</f>
        <v>7680</v>
      </c>
      <c r="G193" s="700">
        <f>+'2-Input - IIFS Liqudity'!M193*'3-Assumptions'!$B146</f>
        <v>55213</v>
      </c>
    </row>
    <row r="194" spans="1:7" ht="30" x14ac:dyDescent="0.2">
      <c r="A194" s="116" t="s">
        <v>400</v>
      </c>
      <c r="B194" s="802">
        <f t="shared" si="20"/>
        <v>2757814.85</v>
      </c>
      <c r="C194" s="701">
        <f>+'2-Input - IIFS Liqudity'!I194*'3-Assumptions'!$B147</f>
        <v>422094.5</v>
      </c>
      <c r="D194" s="702">
        <f>+'2-Input - IIFS Liqudity'!J194*'3-Assumptions'!$B147</f>
        <v>1637619.5</v>
      </c>
      <c r="E194" s="702">
        <f>+'2-Input - IIFS Liqudity'!K194*'3-Assumptions'!$B147</f>
        <v>273028.09999999998</v>
      </c>
      <c r="F194" s="702">
        <f>+'2-Input - IIFS Liqudity'!L194*'3-Assumptions'!$B147</f>
        <v>189217.19999999998</v>
      </c>
      <c r="G194" s="703">
        <f>+'2-Input - IIFS Liqudity'!M194*'3-Assumptions'!$B147</f>
        <v>235855.55</v>
      </c>
    </row>
    <row r="195" spans="1:7" ht="30" x14ac:dyDescent="0.2">
      <c r="A195" s="116" t="s">
        <v>401</v>
      </c>
      <c r="B195" s="802">
        <f t="shared" si="20"/>
        <v>6263440.2000000002</v>
      </c>
      <c r="C195" s="701">
        <f>+'2-Input - IIFS Liqudity'!I195*'3-Assumptions'!$B148</f>
        <v>1815803.1</v>
      </c>
      <c r="D195" s="702">
        <f>+'2-Input - IIFS Liqudity'!J195*'3-Assumptions'!$B148</f>
        <v>1029003.3</v>
      </c>
      <c r="E195" s="702">
        <f>+'2-Input - IIFS Liqudity'!K195*'3-Assumptions'!$B148</f>
        <v>1280646.9000000001</v>
      </c>
      <c r="F195" s="702">
        <f>+'2-Input - IIFS Liqudity'!L195*'3-Assumptions'!$B148</f>
        <v>1241497.8</v>
      </c>
      <c r="G195" s="703">
        <f>+'2-Input - IIFS Liqudity'!M195*'3-Assumptions'!$B148</f>
        <v>896489.1</v>
      </c>
    </row>
    <row r="196" spans="1:7" ht="75" x14ac:dyDescent="0.2">
      <c r="A196" s="116" t="s">
        <v>442</v>
      </c>
      <c r="B196" s="802">
        <f t="shared" si="20"/>
        <v>5799482.5</v>
      </c>
      <c r="C196" s="701">
        <f>+'2-Input - IIFS Liqudity'!I196*'3-Assumptions'!$B149</f>
        <v>1681299.5</v>
      </c>
      <c r="D196" s="702">
        <f>+'2-Input - IIFS Liqudity'!J196*'3-Assumptions'!$B149</f>
        <v>952781</v>
      </c>
      <c r="E196" s="702">
        <f>+'2-Input - IIFS Liqudity'!K196*'3-Assumptions'!$B149</f>
        <v>1185784.5</v>
      </c>
      <c r="F196" s="702">
        <f>+'2-Input - IIFS Liqudity'!L196*'3-Assumptions'!$B149</f>
        <v>1149535</v>
      </c>
      <c r="G196" s="703">
        <f>+'2-Input - IIFS Liqudity'!M196*'3-Assumptions'!$B149</f>
        <v>830082.5</v>
      </c>
    </row>
    <row r="197" spans="1:7" ht="90" x14ac:dyDescent="0.2">
      <c r="A197" s="116" t="s">
        <v>444</v>
      </c>
      <c r="B197" s="803">
        <f t="shared" si="20"/>
        <v>0</v>
      </c>
      <c r="C197" s="705">
        <f>+'2-Input - IIFS Liqudity'!I197*'3-Assumptions'!$B150</f>
        <v>0</v>
      </c>
      <c r="D197" s="706">
        <f>+'2-Input - IIFS Liqudity'!J197*'3-Assumptions'!$B150</f>
        <v>0</v>
      </c>
      <c r="E197" s="706">
        <f>+'2-Input - IIFS Liqudity'!K197*'3-Assumptions'!$B150</f>
        <v>0</v>
      </c>
      <c r="F197" s="706">
        <f>+'2-Input - IIFS Liqudity'!L197*'3-Assumptions'!$B150</f>
        <v>0</v>
      </c>
      <c r="G197" s="707">
        <f>+'2-Input - IIFS Liqudity'!M197*'3-Assumptions'!$B150</f>
        <v>0</v>
      </c>
    </row>
    <row r="198" spans="1:7" ht="15" x14ac:dyDescent="0.35">
      <c r="A198" s="664"/>
      <c r="B198" s="662"/>
      <c r="C198" s="662"/>
      <c r="D198" s="662"/>
      <c r="E198" s="662"/>
      <c r="F198" s="662"/>
      <c r="G198" s="662"/>
    </row>
    <row r="199" spans="1:7" ht="15" x14ac:dyDescent="0.35">
      <c r="A199" s="664"/>
      <c r="B199" s="668" t="str">
        <f t="shared" ref="B199:G199" si="21">+B191</f>
        <v>الإجمالي</v>
      </c>
      <c r="C199" s="517" t="str">
        <f t="shared" si="21"/>
        <v>المؤسسة رقم 1</v>
      </c>
      <c r="D199" s="517" t="str">
        <f t="shared" si="21"/>
        <v>المؤسسة رقم 2</v>
      </c>
      <c r="E199" s="517" t="str">
        <f t="shared" si="21"/>
        <v>المؤسسة رقم 3</v>
      </c>
      <c r="F199" s="517" t="str">
        <f t="shared" si="21"/>
        <v>المؤسسة رقم 4</v>
      </c>
      <c r="G199" s="517" t="str">
        <f t="shared" si="21"/>
        <v>المؤسسة رقم 5</v>
      </c>
    </row>
    <row r="200" spans="1:7" ht="15" x14ac:dyDescent="0.35">
      <c r="A200" s="753" t="s">
        <v>26</v>
      </c>
      <c r="B200" s="671">
        <f t="shared" ref="B200:B208" si="22">SUM(C200:G200)</f>
        <v>3632993.6500000004</v>
      </c>
      <c r="C200" s="755">
        <f>SUM(C201:C208)</f>
        <v>853109.15</v>
      </c>
      <c r="D200" s="756">
        <f>SUM(D201:D208)</f>
        <v>695012.55</v>
      </c>
      <c r="E200" s="756">
        <f>SUM(E201:E208)</f>
        <v>716094.35</v>
      </c>
      <c r="F200" s="756">
        <f>SUM(F201:F208)</f>
        <v>714133.15</v>
      </c>
      <c r="G200" s="757">
        <f>SUM(G201:G208)</f>
        <v>654644.44999999995</v>
      </c>
    </row>
    <row r="201" spans="1:7" ht="45" customHeight="1" x14ac:dyDescent="0.2">
      <c r="A201" s="375" t="s">
        <v>424</v>
      </c>
      <c r="B201" s="801">
        <f t="shared" si="22"/>
        <v>0</v>
      </c>
      <c r="C201" s="698">
        <f>'2-Input - IIFS Liqudity'!I200*'3-Assumptions'!$I146</f>
        <v>0</v>
      </c>
      <c r="D201" s="699">
        <f>'2-Input - IIFS Liqudity'!J200*'3-Assumptions'!$I146</f>
        <v>0</v>
      </c>
      <c r="E201" s="699">
        <f>'2-Input - IIFS Liqudity'!K200*'3-Assumptions'!$I146</f>
        <v>0</v>
      </c>
      <c r="F201" s="699">
        <f>'2-Input - IIFS Liqudity'!L200*'3-Assumptions'!$I146</f>
        <v>0</v>
      </c>
      <c r="G201" s="700">
        <f>'2-Input - IIFS Liqudity'!M200*'3-Assumptions'!$I146</f>
        <v>0</v>
      </c>
    </row>
    <row r="202" spans="1:7" ht="15" x14ac:dyDescent="0.35">
      <c r="A202" s="375" t="s">
        <v>445</v>
      </c>
      <c r="B202" s="681">
        <f t="shared" si="22"/>
        <v>1197211.1000000001</v>
      </c>
      <c r="C202" s="682">
        <f>'2-Input - IIFS Liqudity'!I201*'3-Assumptions'!$I147</f>
        <v>146963.4</v>
      </c>
      <c r="D202" s="683">
        <f>'2-Input - IIFS Liqudity'!J201*'3-Assumptions'!$I147</f>
        <v>294844.55</v>
      </c>
      <c r="E202" s="683">
        <f>'2-Input - IIFS Liqudity'!K201*'3-Assumptions'!$I147</f>
        <v>218064.90000000002</v>
      </c>
      <c r="F202" s="683">
        <f>'2-Input - IIFS Liqudity'!L201*'3-Assumptions'!$I147</f>
        <v>231328.45</v>
      </c>
      <c r="G202" s="684">
        <f>'2-Input - IIFS Liqudity'!M201*'3-Assumptions'!$I147</f>
        <v>306009.8</v>
      </c>
    </row>
    <row r="203" spans="1:7" ht="30" x14ac:dyDescent="0.2">
      <c r="A203" s="375" t="s">
        <v>446</v>
      </c>
      <c r="B203" s="802">
        <f t="shared" si="22"/>
        <v>695937.80000000016</v>
      </c>
      <c r="C203" s="701">
        <f>'2-Input - IIFS Liqudity'!I202*'3-Assumptions'!$I148</f>
        <v>201755.90000000002</v>
      </c>
      <c r="D203" s="702">
        <f>'2-Input - IIFS Liqudity'!J202*'3-Assumptions'!$I148</f>
        <v>114333.70000000001</v>
      </c>
      <c r="E203" s="702">
        <f>'2-Input - IIFS Liqudity'!K202*'3-Assumptions'!$I148</f>
        <v>142294.1</v>
      </c>
      <c r="F203" s="702">
        <f>'2-Input - IIFS Liqudity'!L202*'3-Assumptions'!$I148</f>
        <v>137944.20000000001</v>
      </c>
      <c r="G203" s="703">
        <f>'2-Input - IIFS Liqudity'!M202*'3-Assumptions'!$I148</f>
        <v>99609.900000000009</v>
      </c>
    </row>
    <row r="204" spans="1:7" ht="30" x14ac:dyDescent="0.2">
      <c r="A204" s="375" t="s">
        <v>383</v>
      </c>
      <c r="B204" s="802">
        <f t="shared" si="22"/>
        <v>1739844.75</v>
      </c>
      <c r="C204" s="701">
        <f>'2-Input - IIFS Liqudity'!I203*'3-Assumptions'!$I149</f>
        <v>504389.85</v>
      </c>
      <c r="D204" s="702">
        <f>'2-Input - IIFS Liqudity'!J203*'3-Assumptions'!$I149</f>
        <v>285834.3</v>
      </c>
      <c r="E204" s="702">
        <f>'2-Input - IIFS Liqudity'!K203*'3-Assumptions'!$I149</f>
        <v>355735.35</v>
      </c>
      <c r="F204" s="702">
        <f>'2-Input - IIFS Liqudity'!L203*'3-Assumptions'!$I149</f>
        <v>344860.5</v>
      </c>
      <c r="G204" s="703">
        <f>'2-Input - IIFS Liqudity'!M203*'3-Assumptions'!$I149</f>
        <v>249024.75</v>
      </c>
    </row>
    <row r="205" spans="1:7" ht="90" x14ac:dyDescent="0.2">
      <c r="A205" s="375" t="s">
        <v>427</v>
      </c>
      <c r="B205" s="802">
        <f t="shared" si="22"/>
        <v>0</v>
      </c>
      <c r="C205" s="701">
        <f>'2-Input - IIFS Liqudity'!I204*'3-Assumptions'!$I150</f>
        <v>0</v>
      </c>
      <c r="D205" s="702">
        <f>'2-Input - IIFS Liqudity'!J204*'3-Assumptions'!$I150</f>
        <v>0</v>
      </c>
      <c r="E205" s="702">
        <f>'2-Input - IIFS Liqudity'!K204*'3-Assumptions'!$I150</f>
        <v>0</v>
      </c>
      <c r="F205" s="702">
        <f>'2-Input - IIFS Liqudity'!L204*'3-Assumptions'!$I150</f>
        <v>0</v>
      </c>
      <c r="G205" s="703">
        <f>'2-Input - IIFS Liqudity'!M204*'3-Assumptions'!$I150</f>
        <v>0</v>
      </c>
    </row>
    <row r="206" spans="1:7" ht="60" x14ac:dyDescent="0.2">
      <c r="A206" s="375" t="s">
        <v>385</v>
      </c>
      <c r="B206" s="802">
        <f t="shared" si="22"/>
        <v>0</v>
      </c>
      <c r="C206" s="701">
        <f>'2-Input - IIFS Liqudity'!I205*'3-Assumptions'!$I151</f>
        <v>0</v>
      </c>
      <c r="D206" s="702">
        <f>'2-Input - IIFS Liqudity'!J205*'3-Assumptions'!$I151</f>
        <v>0</v>
      </c>
      <c r="E206" s="702">
        <f>'2-Input - IIFS Liqudity'!K205*'3-Assumptions'!$I151</f>
        <v>0</v>
      </c>
      <c r="F206" s="702">
        <f>'2-Input - IIFS Liqudity'!L205*'3-Assumptions'!$I151</f>
        <v>0</v>
      </c>
      <c r="G206" s="703">
        <f>'2-Input - IIFS Liqudity'!M205*'3-Assumptions'!$I151</f>
        <v>0</v>
      </c>
    </row>
    <row r="207" spans="1:7" ht="90" x14ac:dyDescent="0.2">
      <c r="A207" s="375" t="s">
        <v>386</v>
      </c>
      <c r="B207" s="802">
        <f t="shared" si="22"/>
        <v>0</v>
      </c>
      <c r="C207" s="701">
        <f>'2-Input - IIFS Liqudity'!I206*'3-Assumptions'!$I152</f>
        <v>0</v>
      </c>
      <c r="D207" s="702">
        <f>'2-Input - IIFS Liqudity'!J206*'3-Assumptions'!$I152</f>
        <v>0</v>
      </c>
      <c r="E207" s="702">
        <f>'2-Input - IIFS Liqudity'!K206*'3-Assumptions'!$I152</f>
        <v>0</v>
      </c>
      <c r="F207" s="702">
        <f>'2-Input - IIFS Liqudity'!L206*'3-Assumptions'!$I152</f>
        <v>0</v>
      </c>
      <c r="G207" s="703">
        <f>'2-Input - IIFS Liqudity'!M206*'3-Assumptions'!$I152</f>
        <v>0</v>
      </c>
    </row>
    <row r="208" spans="1:7" ht="60" x14ac:dyDescent="0.2">
      <c r="A208" s="375" t="s">
        <v>448</v>
      </c>
      <c r="B208" s="803">
        <f t="shared" si="22"/>
        <v>0</v>
      </c>
      <c r="C208" s="705">
        <f>'2-Input - IIFS Liqudity'!I207*'3-Assumptions'!$I153</f>
        <v>0</v>
      </c>
      <c r="D208" s="706">
        <f>'2-Input - IIFS Liqudity'!J207*'3-Assumptions'!$I153</f>
        <v>0</v>
      </c>
      <c r="E208" s="706">
        <f>'2-Input - IIFS Liqudity'!K207*'3-Assumptions'!$I153</f>
        <v>0</v>
      </c>
      <c r="F208" s="706">
        <f>'2-Input - IIFS Liqudity'!L207*'3-Assumptions'!$I153</f>
        <v>0</v>
      </c>
      <c r="G208" s="707">
        <f>'2-Input - IIFS Liqudity'!M207*'3-Assumptions'!$I153</f>
        <v>0</v>
      </c>
    </row>
    <row r="209" spans="1:7" ht="15" x14ac:dyDescent="0.35">
      <c r="A209" s="664"/>
      <c r="B209" s="662"/>
      <c r="C209" s="662"/>
      <c r="D209" s="662"/>
      <c r="E209" s="662"/>
      <c r="F209" s="662"/>
      <c r="G209" s="662"/>
    </row>
    <row r="210" spans="1:7" ht="15" x14ac:dyDescent="0.35">
      <c r="A210" s="664"/>
      <c r="B210" s="662"/>
      <c r="C210" s="662"/>
      <c r="D210" s="662"/>
      <c r="E210" s="662"/>
      <c r="F210" s="662"/>
      <c r="G210" s="662"/>
    </row>
    <row r="211" spans="1:7" s="46" customFormat="1" ht="18" x14ac:dyDescent="0.45">
      <c r="A211" s="771" t="s">
        <v>264</v>
      </c>
      <c r="B211" s="772"/>
      <c r="C211" s="772"/>
      <c r="D211" s="772"/>
      <c r="E211" s="772"/>
      <c r="F211" s="772"/>
      <c r="G211" s="829"/>
    </row>
    <row r="212" spans="1:7" s="17" customFormat="1" ht="18" x14ac:dyDescent="0.45">
      <c r="A212" s="511"/>
      <c r="B212" s="773"/>
      <c r="C212" s="773"/>
      <c r="D212" s="390"/>
      <c r="E212" s="390"/>
      <c r="F212" s="390"/>
      <c r="G212" s="390"/>
    </row>
    <row r="213" spans="1:7" s="17" customFormat="1" ht="15" x14ac:dyDescent="0.35">
      <c r="A213" s="774"/>
      <c r="B213" s="775" t="s">
        <v>46</v>
      </c>
      <c r="C213" s="517" t="str">
        <f>+C191</f>
        <v>المؤسسة رقم 1</v>
      </c>
      <c r="D213" s="517" t="str">
        <f>+D191</f>
        <v>المؤسسة رقم 2</v>
      </c>
      <c r="E213" s="517" t="str">
        <f>+E191</f>
        <v>المؤسسة رقم 3</v>
      </c>
      <c r="F213" s="517" t="str">
        <f>+F191</f>
        <v>المؤسسة رقم 4</v>
      </c>
      <c r="G213" s="517" t="str">
        <f>+G191</f>
        <v>المؤسسة رقم 5</v>
      </c>
    </row>
    <row r="214" spans="1:7" s="17" customFormat="1" ht="15" x14ac:dyDescent="0.35">
      <c r="A214" s="774" t="s">
        <v>447</v>
      </c>
      <c r="B214" s="776"/>
      <c r="C214" s="777"/>
      <c r="D214" s="778"/>
      <c r="E214" s="778"/>
      <c r="F214" s="778"/>
      <c r="G214" s="778"/>
    </row>
    <row r="215" spans="1:7" s="17" customFormat="1" ht="15" x14ac:dyDescent="0.35">
      <c r="A215" s="367" t="s">
        <v>1</v>
      </c>
      <c r="B215" s="779">
        <f t="shared" ref="B215:B224" si="23">SUM(C215:G215)</f>
        <v>26168206</v>
      </c>
      <c r="C215" s="780">
        <v>3229482</v>
      </c>
      <c r="D215" s="780">
        <v>5880432</v>
      </c>
      <c r="E215" s="780">
        <v>4934396</v>
      </c>
      <c r="F215" s="780">
        <v>8095777</v>
      </c>
      <c r="G215" s="780">
        <v>4028119</v>
      </c>
    </row>
    <row r="216" spans="1:7" s="17" customFormat="1" ht="15" x14ac:dyDescent="0.35">
      <c r="A216" s="367" t="s">
        <v>2</v>
      </c>
      <c r="B216" s="781">
        <f t="shared" si="23"/>
        <v>-1218822</v>
      </c>
      <c r="C216" s="782">
        <v>-1666628</v>
      </c>
      <c r="D216" s="782">
        <v>629853</v>
      </c>
      <c r="E216" s="782">
        <v>804301</v>
      </c>
      <c r="F216" s="782">
        <v>-1103983</v>
      </c>
      <c r="G216" s="782">
        <v>117635</v>
      </c>
    </row>
    <row r="217" spans="1:7" s="17" customFormat="1" ht="15" x14ac:dyDescent="0.35">
      <c r="A217" s="367" t="s">
        <v>3</v>
      </c>
      <c r="B217" s="781">
        <f t="shared" si="23"/>
        <v>-10073386</v>
      </c>
      <c r="C217" s="782">
        <v>-3020006</v>
      </c>
      <c r="D217" s="782">
        <v>-2711438</v>
      </c>
      <c r="E217" s="782">
        <v>-1883889</v>
      </c>
      <c r="F217" s="782">
        <v>541169</v>
      </c>
      <c r="G217" s="782">
        <v>-2999222</v>
      </c>
    </row>
    <row r="218" spans="1:7" s="17" customFormat="1" ht="15" x14ac:dyDescent="0.35">
      <c r="A218" s="368" t="s">
        <v>4</v>
      </c>
      <c r="B218" s="783">
        <f t="shared" si="23"/>
        <v>-23165245</v>
      </c>
      <c r="C218" s="784">
        <v>-2746087</v>
      </c>
      <c r="D218" s="784">
        <v>-5554763</v>
      </c>
      <c r="E218" s="784">
        <v>-5457491</v>
      </c>
      <c r="F218" s="784">
        <v>-4191355</v>
      </c>
      <c r="G218" s="784">
        <v>-5215549</v>
      </c>
    </row>
    <row r="219" spans="1:7" s="17" customFormat="1" ht="15" hidden="1" x14ac:dyDescent="0.35">
      <c r="A219" s="367"/>
      <c r="B219" s="781">
        <f t="shared" si="23"/>
        <v>0</v>
      </c>
      <c r="C219" s="782"/>
      <c r="D219" s="782"/>
      <c r="E219" s="782"/>
      <c r="F219" s="782"/>
      <c r="G219" s="782"/>
    </row>
    <row r="220" spans="1:7" s="17" customFormat="1" ht="15" hidden="1" x14ac:dyDescent="0.35">
      <c r="A220" s="367"/>
      <c r="B220" s="781">
        <f t="shared" si="23"/>
        <v>0</v>
      </c>
      <c r="C220" s="782"/>
      <c r="D220" s="782"/>
      <c r="E220" s="782"/>
      <c r="F220" s="782"/>
      <c r="G220" s="782"/>
    </row>
    <row r="221" spans="1:7" s="17" customFormat="1" ht="15" hidden="1" x14ac:dyDescent="0.35">
      <c r="A221" s="367"/>
      <c r="B221" s="781">
        <f t="shared" si="23"/>
        <v>0</v>
      </c>
      <c r="C221" s="782"/>
      <c r="D221" s="782"/>
      <c r="E221" s="782"/>
      <c r="F221" s="782"/>
      <c r="G221" s="782"/>
    </row>
    <row r="222" spans="1:7" s="17" customFormat="1" ht="15" hidden="1" x14ac:dyDescent="0.35">
      <c r="A222" s="367"/>
      <c r="B222" s="781">
        <f t="shared" si="23"/>
        <v>0</v>
      </c>
      <c r="C222" s="782"/>
      <c r="D222" s="782"/>
      <c r="E222" s="782"/>
      <c r="F222" s="782"/>
      <c r="G222" s="782"/>
    </row>
    <row r="223" spans="1:7" s="17" customFormat="1" ht="15" hidden="1" x14ac:dyDescent="0.35">
      <c r="A223" s="367"/>
      <c r="B223" s="781">
        <f t="shared" si="23"/>
        <v>0</v>
      </c>
      <c r="C223" s="782"/>
      <c r="D223" s="782"/>
      <c r="E223" s="782"/>
      <c r="F223" s="782"/>
      <c r="G223" s="782"/>
    </row>
    <row r="224" spans="1:7" s="17" customFormat="1" ht="15" hidden="1" x14ac:dyDescent="0.35">
      <c r="A224" s="368"/>
      <c r="B224" s="783">
        <f t="shared" si="23"/>
        <v>0</v>
      </c>
      <c r="C224" s="784"/>
      <c r="D224" s="784"/>
      <c r="E224" s="784"/>
      <c r="F224" s="784"/>
      <c r="G224" s="784"/>
    </row>
    <row r="225" spans="1:26" s="17" customFormat="1" ht="15" x14ac:dyDescent="0.35">
      <c r="A225" s="785"/>
      <c r="B225" s="285"/>
      <c r="C225" s="786"/>
      <c r="D225" s="786"/>
      <c r="E225" s="786"/>
      <c r="F225" s="786"/>
      <c r="G225" s="786"/>
    </row>
    <row r="226" spans="1:26" s="17" customFormat="1" ht="15" x14ac:dyDescent="0.35">
      <c r="A226" s="398" t="s">
        <v>267</v>
      </c>
      <c r="B226" s="787">
        <f>SUM(C226:G226)</f>
        <v>0</v>
      </c>
      <c r="C226" s="788">
        <v>0</v>
      </c>
      <c r="D226" s="788">
        <v>0</v>
      </c>
      <c r="E226" s="788">
        <v>0</v>
      </c>
      <c r="F226" s="788">
        <v>0</v>
      </c>
      <c r="G226" s="830">
        <v>0</v>
      </c>
    </row>
    <row r="227" spans="1:26" s="17" customFormat="1" ht="15" x14ac:dyDescent="0.35">
      <c r="A227" s="789" t="s">
        <v>265</v>
      </c>
      <c r="B227" s="790"/>
      <c r="C227" s="790"/>
      <c r="D227" s="790"/>
      <c r="E227" s="790"/>
      <c r="F227" s="790"/>
      <c r="G227" s="790"/>
    </row>
    <row r="228" spans="1:26" s="17" customFormat="1" ht="15" x14ac:dyDescent="0.35">
      <c r="A228" s="369" t="str">
        <f>A215</f>
        <v>أقل من 3 أشهر</v>
      </c>
      <c r="B228" s="779">
        <f t="shared" ref="B228:B237" si="24">SUM(C228:G228)</f>
        <v>0</v>
      </c>
      <c r="C228" s="791">
        <f>IF(C215&lt;0,1,0)</f>
        <v>0</v>
      </c>
      <c r="D228" s="791">
        <f>IF(D215&lt;0,1,0)</f>
        <v>0</v>
      </c>
      <c r="E228" s="791">
        <f>IF(E215&lt;0,1,0)</f>
        <v>0</v>
      </c>
      <c r="F228" s="791">
        <f>IF(F215&lt;0,1,0)</f>
        <v>0</v>
      </c>
      <c r="G228" s="791">
        <f>IF(G215&lt;0,1,0)</f>
        <v>0</v>
      </c>
    </row>
    <row r="229" spans="1:26" s="17" customFormat="1" ht="15" x14ac:dyDescent="0.35">
      <c r="A229" s="367" t="str">
        <f>A216</f>
        <v>من 3 إلى 12 شهرًا</v>
      </c>
      <c r="B229" s="781">
        <f t="shared" si="24"/>
        <v>2</v>
      </c>
      <c r="C229" s="792">
        <f>IF(OR(C215&lt;0,C216&lt;0),1,0)</f>
        <v>1</v>
      </c>
      <c r="D229" s="792">
        <f>IF(OR(D215&lt;0,D216&lt;0),1,0)</f>
        <v>0</v>
      </c>
      <c r="E229" s="792">
        <f>IF(OR(E215&lt;0,E216&lt;0),1,0)</f>
        <v>0</v>
      </c>
      <c r="F229" s="792">
        <f>IF(OR(F215&lt;0,F216&lt;0),1,0)</f>
        <v>1</v>
      </c>
      <c r="G229" s="792">
        <f>IF(OR(G215&lt;0,G216&lt;0),1,0)</f>
        <v>0</v>
      </c>
    </row>
    <row r="230" spans="1:26" s="17" customFormat="1" ht="15" x14ac:dyDescent="0.35">
      <c r="A230" s="367" t="str">
        <f>A217</f>
        <v>من سنة إلى خمس سنوات</v>
      </c>
      <c r="B230" s="781">
        <f t="shared" si="24"/>
        <v>5</v>
      </c>
      <c r="C230" s="792">
        <f>IF(OR(C215&lt;0,C216&lt;0,C217&lt;0),1,0)</f>
        <v>1</v>
      </c>
      <c r="D230" s="792">
        <f>IF(OR(D215&lt;0,D216&lt;0,D217&lt;0),1,0)</f>
        <v>1</v>
      </c>
      <c r="E230" s="792">
        <f>IF(OR(E215&lt;0,E216&lt;0,E217&lt;0),1,0)</f>
        <v>1</v>
      </c>
      <c r="F230" s="792">
        <f>IF(OR(F215&lt;0,F216&lt;0,F217&lt;0),1,0)</f>
        <v>1</v>
      </c>
      <c r="G230" s="792">
        <f>IF(OR(G215&lt;0,G216&lt;0,G217&lt;0),1,0)</f>
        <v>1</v>
      </c>
    </row>
    <row r="231" spans="1:26" s="17" customFormat="1" ht="15" x14ac:dyDescent="0.35">
      <c r="A231" s="368" t="str">
        <f>A218</f>
        <v>أكثر من خمس سنوات</v>
      </c>
      <c r="B231" s="783">
        <f t="shared" si="24"/>
        <v>5</v>
      </c>
      <c r="C231" s="793">
        <f>IF(OR(C215&lt;0,C216&lt;0,C217&lt;0,C218&lt;0),1,0)</f>
        <v>1</v>
      </c>
      <c r="D231" s="793">
        <f>IF(OR(D215&lt;0,D216&lt;0,D217&lt;0,D218&lt;0),1,0)</f>
        <v>1</v>
      </c>
      <c r="E231" s="793">
        <f>IF(OR(E215&lt;0,E216&lt;0,E217&lt;0,E218&lt;0),1,0)</f>
        <v>1</v>
      </c>
      <c r="F231" s="793">
        <f>IF(OR(F215&lt;0,F216&lt;0,F217&lt;0,F218&lt;0),1,0)</f>
        <v>1</v>
      </c>
      <c r="G231" s="793">
        <f>IF(OR(G215&lt;0,G216&lt;0,G217&lt;0,G218&lt;0),1,0)</f>
        <v>1</v>
      </c>
    </row>
    <row r="232" spans="1:26" s="17" customFormat="1" hidden="1" x14ac:dyDescent="0.2">
      <c r="A232" s="52"/>
      <c r="B232" s="48">
        <f t="shared" si="24"/>
        <v>5</v>
      </c>
      <c r="C232" s="50">
        <f>IF(OR(C215&lt;0,C216&lt;0,C217&lt;0,C218&lt;0,C219&lt;0),1,0)</f>
        <v>1</v>
      </c>
      <c r="D232" s="50">
        <f>IF(OR(D215&lt;0,D216&lt;0,D217&lt;0,D218&lt;0,D219&lt;0),1,0)</f>
        <v>1</v>
      </c>
      <c r="E232" s="50">
        <f>IF(OR(E215&lt;0,E216&lt;0,E217&lt;0,E218&lt;0,E219&lt;0),1,0)</f>
        <v>1</v>
      </c>
      <c r="F232" s="50">
        <f>IF(OR(F215&lt;0,F216&lt;0,F217&lt;0,F218&lt;0,F219&lt;0),1,0)</f>
        <v>1</v>
      </c>
      <c r="G232" s="50">
        <f>IF(OR(G215&lt;0,G216&lt;0,G217&lt;0,G218&lt;0,G219&lt;0),1,0)</f>
        <v>1</v>
      </c>
    </row>
    <row r="233" spans="1:26" s="17" customFormat="1" hidden="1" x14ac:dyDescent="0.2">
      <c r="A233" s="52"/>
      <c r="B233" s="48">
        <f t="shared" si="24"/>
        <v>0</v>
      </c>
      <c r="C233" s="50"/>
      <c r="D233" s="50"/>
      <c r="E233" s="50"/>
      <c r="F233" s="50"/>
      <c r="G233" s="50"/>
    </row>
    <row r="234" spans="1:26" s="17" customFormat="1" hidden="1" x14ac:dyDescent="0.2">
      <c r="A234" s="52"/>
      <c r="B234" s="48">
        <f t="shared" si="24"/>
        <v>0</v>
      </c>
      <c r="C234" s="50"/>
      <c r="D234" s="50"/>
      <c r="E234" s="50"/>
      <c r="F234" s="50"/>
      <c r="G234" s="50"/>
    </row>
    <row r="235" spans="1:26" s="17" customFormat="1" hidden="1" x14ac:dyDescent="0.2">
      <c r="A235" s="52"/>
      <c r="B235" s="48">
        <f t="shared" si="24"/>
        <v>0</v>
      </c>
      <c r="C235" s="50"/>
      <c r="D235" s="50"/>
      <c r="E235" s="50"/>
      <c r="F235" s="50"/>
      <c r="G235" s="50"/>
    </row>
    <row r="236" spans="1:26" s="17" customFormat="1" hidden="1" x14ac:dyDescent="0.2">
      <c r="A236" s="52"/>
      <c r="B236" s="48">
        <f t="shared" si="24"/>
        <v>0</v>
      </c>
      <c r="C236" s="50"/>
      <c r="D236" s="50"/>
      <c r="E236" s="50"/>
      <c r="F236" s="50"/>
      <c r="G236" s="50"/>
    </row>
    <row r="237" spans="1:26" s="17" customFormat="1" hidden="1" x14ac:dyDescent="0.2">
      <c r="A237" s="53"/>
      <c r="B237" s="49">
        <f t="shared" si="24"/>
        <v>0</v>
      </c>
      <c r="C237" s="51"/>
      <c r="D237" s="51"/>
      <c r="E237" s="51"/>
      <c r="F237" s="51"/>
      <c r="G237" s="51"/>
    </row>
    <row r="238" spans="1:26" x14ac:dyDescent="0.2">
      <c r="H238" s="22"/>
      <c r="I238" s="22"/>
      <c r="J238" s="22"/>
      <c r="K238" s="22"/>
      <c r="L238" s="22"/>
      <c r="M238" s="22"/>
      <c r="N238" s="22"/>
      <c r="O238" s="22"/>
      <c r="P238" s="22"/>
      <c r="Q238" s="22"/>
      <c r="R238" s="22"/>
      <c r="S238" s="22"/>
      <c r="T238" s="22"/>
      <c r="U238" s="22"/>
      <c r="V238" s="22"/>
      <c r="W238" s="22"/>
      <c r="X238" s="22"/>
      <c r="Y238" s="22"/>
      <c r="Z238" s="22"/>
    </row>
    <row r="239" spans="1:26" x14ac:dyDescent="0.2">
      <c r="H239" s="22"/>
      <c r="I239" s="22"/>
      <c r="J239" s="22"/>
      <c r="K239" s="22"/>
      <c r="L239" s="22"/>
      <c r="M239" s="22"/>
      <c r="N239" s="22"/>
      <c r="O239" s="22"/>
      <c r="P239" s="22"/>
      <c r="Q239" s="22"/>
      <c r="R239" s="22"/>
      <c r="S239" s="22"/>
      <c r="T239" s="22"/>
      <c r="U239" s="22"/>
      <c r="V239" s="22"/>
      <c r="W239" s="22"/>
      <c r="X239" s="22"/>
      <c r="Y239" s="22"/>
      <c r="Z239" s="22"/>
    </row>
    <row r="240" spans="1:26" x14ac:dyDescent="0.2">
      <c r="H240" s="22"/>
      <c r="I240" s="22"/>
      <c r="J240" s="22"/>
      <c r="K240" s="22"/>
      <c r="L240" s="22"/>
      <c r="M240" s="22"/>
      <c r="N240" s="22"/>
      <c r="O240" s="22"/>
      <c r="P240" s="22"/>
      <c r="Q240" s="22"/>
      <c r="R240" s="22"/>
      <c r="S240" s="22"/>
      <c r="T240" s="22"/>
      <c r="U240" s="22"/>
      <c r="V240" s="22"/>
      <c r="W240" s="22"/>
      <c r="X240" s="22"/>
      <c r="Y240" s="22"/>
      <c r="Z240" s="22"/>
    </row>
    <row r="241" spans="8:26" x14ac:dyDescent="0.2">
      <c r="H241" s="22"/>
      <c r="I241" s="22"/>
      <c r="J241" s="22"/>
      <c r="K241" s="22"/>
      <c r="L241" s="22"/>
      <c r="M241" s="22"/>
      <c r="N241" s="22"/>
      <c r="O241" s="22"/>
      <c r="P241" s="22"/>
      <c r="Q241" s="22"/>
      <c r="R241" s="22"/>
      <c r="S241" s="22"/>
      <c r="T241" s="22"/>
      <c r="U241" s="22"/>
      <c r="V241" s="22"/>
      <c r="W241" s="22"/>
      <c r="X241" s="22"/>
      <c r="Y241" s="22"/>
      <c r="Z241" s="22"/>
    </row>
    <row r="242" spans="8:26" x14ac:dyDescent="0.2">
      <c r="H242" s="22"/>
      <c r="I242" s="22"/>
      <c r="J242" s="22"/>
      <c r="K242" s="22"/>
      <c r="L242" s="22"/>
      <c r="M242" s="22"/>
      <c r="N242" s="22"/>
      <c r="O242" s="22"/>
      <c r="P242" s="22"/>
      <c r="Q242" s="22"/>
      <c r="R242" s="22"/>
      <c r="S242" s="22"/>
      <c r="T242" s="22"/>
      <c r="U242" s="22"/>
      <c r="V242" s="22"/>
      <c r="W242" s="22"/>
      <c r="X242" s="22"/>
      <c r="Y242" s="22"/>
      <c r="Z242" s="22"/>
    </row>
    <row r="243" spans="8:26" x14ac:dyDescent="0.2">
      <c r="H243" s="22"/>
      <c r="I243" s="22"/>
      <c r="J243" s="22"/>
      <c r="K243" s="22"/>
      <c r="L243" s="22"/>
      <c r="M243" s="22"/>
      <c r="N243" s="22"/>
      <c r="O243" s="22"/>
      <c r="P243" s="22"/>
      <c r="Q243" s="22"/>
      <c r="R243" s="22"/>
      <c r="S243" s="22"/>
      <c r="T243" s="22"/>
      <c r="U243" s="22"/>
      <c r="V243" s="22"/>
      <c r="W243" s="22"/>
      <c r="X243" s="22"/>
      <c r="Y243" s="22"/>
      <c r="Z243" s="22"/>
    </row>
    <row r="244" spans="8:26" x14ac:dyDescent="0.2">
      <c r="H244" s="22"/>
      <c r="I244" s="22"/>
      <c r="J244" s="22"/>
      <c r="K244" s="22"/>
      <c r="L244" s="22"/>
      <c r="M244" s="22"/>
      <c r="N244" s="22"/>
      <c r="O244" s="22"/>
      <c r="P244" s="22"/>
      <c r="Q244" s="22"/>
      <c r="R244" s="22"/>
      <c r="S244" s="22"/>
      <c r="T244" s="22"/>
      <c r="U244" s="22"/>
      <c r="V244" s="22"/>
      <c r="W244" s="22"/>
      <c r="X244" s="22"/>
      <c r="Y244" s="22"/>
      <c r="Z244" s="22"/>
    </row>
    <row r="245" spans="8:26" x14ac:dyDescent="0.2">
      <c r="H245" s="22"/>
      <c r="I245" s="22"/>
      <c r="J245" s="22"/>
      <c r="K245" s="22"/>
      <c r="L245" s="22"/>
      <c r="M245" s="22"/>
      <c r="N245" s="22"/>
      <c r="O245" s="22"/>
      <c r="P245" s="22"/>
      <c r="Q245" s="22"/>
      <c r="R245" s="22"/>
      <c r="S245" s="22"/>
      <c r="T245" s="22"/>
      <c r="U245" s="22"/>
      <c r="V245" s="22"/>
      <c r="W245" s="22"/>
      <c r="X245" s="22"/>
      <c r="Y245" s="22"/>
      <c r="Z245" s="22"/>
    </row>
    <row r="246" spans="8:26" x14ac:dyDescent="0.2">
      <c r="H246" s="22"/>
      <c r="I246" s="22"/>
      <c r="J246" s="22"/>
      <c r="K246" s="22"/>
      <c r="L246" s="22"/>
      <c r="M246" s="22"/>
      <c r="N246" s="22"/>
      <c r="O246" s="22"/>
      <c r="P246" s="22"/>
      <c r="Q246" s="22"/>
      <c r="R246" s="22"/>
      <c r="S246" s="22"/>
      <c r="T246" s="22"/>
      <c r="U246" s="22"/>
      <c r="V246" s="22"/>
      <c r="W246" s="22"/>
      <c r="X246" s="22"/>
      <c r="Y246" s="22"/>
      <c r="Z246" s="22"/>
    </row>
    <row r="247" spans="8:26" x14ac:dyDescent="0.2">
      <c r="H247" s="22"/>
      <c r="I247" s="22"/>
      <c r="J247" s="22"/>
      <c r="K247" s="22"/>
      <c r="L247" s="22"/>
      <c r="M247" s="22"/>
      <c r="N247" s="22"/>
      <c r="O247" s="22"/>
      <c r="P247" s="22"/>
      <c r="Q247" s="22"/>
      <c r="R247" s="22"/>
      <c r="S247" s="22"/>
      <c r="T247" s="22"/>
      <c r="U247" s="22"/>
      <c r="V247" s="22"/>
      <c r="W247" s="22"/>
      <c r="X247" s="22"/>
      <c r="Y247" s="22"/>
      <c r="Z247" s="22"/>
    </row>
    <row r="248" spans="8:26" x14ac:dyDescent="0.2">
      <c r="H248" s="22"/>
      <c r="I248" s="22"/>
      <c r="J248" s="22"/>
      <c r="K248" s="22"/>
      <c r="L248" s="22"/>
      <c r="M248" s="22"/>
      <c r="N248" s="22"/>
      <c r="O248" s="22"/>
      <c r="P248" s="22"/>
      <c r="Q248" s="22"/>
      <c r="R248" s="22"/>
      <c r="S248" s="22"/>
      <c r="T248" s="22"/>
      <c r="U248" s="22"/>
      <c r="V248" s="22"/>
      <c r="W248" s="22"/>
      <c r="X248" s="22"/>
      <c r="Y248" s="22"/>
      <c r="Z248" s="22"/>
    </row>
    <row r="249" spans="8:26" x14ac:dyDescent="0.2">
      <c r="H249" s="22"/>
      <c r="I249" s="22"/>
      <c r="J249" s="22"/>
      <c r="K249" s="22"/>
      <c r="L249" s="22"/>
      <c r="M249" s="22"/>
      <c r="N249" s="22"/>
      <c r="O249" s="22"/>
      <c r="P249" s="22"/>
      <c r="Q249" s="22"/>
      <c r="R249" s="22"/>
      <c r="S249" s="22"/>
      <c r="T249" s="22"/>
      <c r="U249" s="22"/>
      <c r="V249" s="22"/>
      <c r="W249" s="22"/>
      <c r="X249" s="22"/>
      <c r="Y249" s="22"/>
      <c r="Z249" s="22"/>
    </row>
    <row r="250" spans="8:26" x14ac:dyDescent="0.2">
      <c r="H250" s="22"/>
      <c r="I250" s="22"/>
      <c r="J250" s="22"/>
      <c r="K250" s="22"/>
      <c r="L250" s="22"/>
      <c r="M250" s="22"/>
      <c r="N250" s="22"/>
      <c r="O250" s="22"/>
      <c r="P250" s="22"/>
      <c r="Q250" s="22"/>
      <c r="R250" s="22"/>
      <c r="S250" s="22"/>
      <c r="T250" s="22"/>
      <c r="U250" s="22"/>
      <c r="V250" s="22"/>
      <c r="W250" s="22"/>
      <c r="X250" s="22"/>
      <c r="Y250" s="22"/>
      <c r="Z250" s="22"/>
    </row>
    <row r="251" spans="8:26" x14ac:dyDescent="0.2">
      <c r="H251" s="22"/>
      <c r="I251" s="22"/>
      <c r="J251" s="22"/>
      <c r="K251" s="22"/>
      <c r="L251" s="22"/>
      <c r="M251" s="22"/>
      <c r="N251" s="22"/>
      <c r="O251" s="22"/>
      <c r="P251" s="22"/>
      <c r="Q251" s="22"/>
      <c r="R251" s="22"/>
      <c r="S251" s="22"/>
      <c r="T251" s="22"/>
      <c r="U251" s="22"/>
      <c r="V251" s="22"/>
      <c r="W251" s="22"/>
      <c r="X251" s="22"/>
      <c r="Y251" s="22"/>
      <c r="Z251" s="22"/>
    </row>
    <row r="252" spans="8:26" x14ac:dyDescent="0.2">
      <c r="H252" s="22"/>
      <c r="I252" s="22"/>
      <c r="J252" s="22"/>
      <c r="K252" s="22"/>
      <c r="L252" s="22"/>
      <c r="M252" s="22"/>
      <c r="N252" s="22"/>
      <c r="O252" s="22"/>
      <c r="P252" s="22"/>
      <c r="Q252" s="22"/>
      <c r="R252" s="22"/>
      <c r="S252" s="22"/>
      <c r="T252" s="22"/>
      <c r="U252" s="22"/>
      <c r="V252" s="22"/>
      <c r="W252" s="22"/>
      <c r="X252" s="22"/>
      <c r="Y252" s="22"/>
      <c r="Z252" s="22"/>
    </row>
    <row r="253" spans="8:26" x14ac:dyDescent="0.2">
      <c r="H253" s="22"/>
      <c r="I253" s="22"/>
      <c r="J253" s="22"/>
      <c r="K253" s="22"/>
      <c r="L253" s="22"/>
      <c r="M253" s="22"/>
      <c r="N253" s="22"/>
      <c r="O253" s="22"/>
      <c r="P253" s="22"/>
      <c r="Q253" s="22"/>
      <c r="R253" s="22"/>
      <c r="S253" s="22"/>
      <c r="T253" s="22"/>
      <c r="U253" s="22"/>
      <c r="V253" s="22"/>
      <c r="W253" s="22"/>
      <c r="X253" s="22"/>
      <c r="Y253" s="22"/>
      <c r="Z253" s="22"/>
    </row>
    <row r="254" spans="8:26" x14ac:dyDescent="0.2">
      <c r="H254" s="22"/>
      <c r="I254" s="22"/>
      <c r="J254" s="22"/>
      <c r="K254" s="22"/>
      <c r="L254" s="22"/>
      <c r="M254" s="22"/>
      <c r="N254" s="22"/>
      <c r="O254" s="22"/>
      <c r="P254" s="22"/>
      <c r="Q254" s="22"/>
      <c r="R254" s="22"/>
      <c r="S254" s="22"/>
      <c r="T254" s="22"/>
      <c r="U254" s="22"/>
      <c r="V254" s="22"/>
      <c r="W254" s="22"/>
      <c r="X254" s="22"/>
      <c r="Y254" s="22"/>
      <c r="Z254" s="22"/>
    </row>
    <row r="255" spans="8:26" x14ac:dyDescent="0.2">
      <c r="H255" s="22"/>
      <c r="I255" s="22"/>
      <c r="J255" s="22"/>
      <c r="K255" s="22"/>
      <c r="L255" s="22"/>
      <c r="M255" s="22"/>
      <c r="N255" s="22"/>
      <c r="O255" s="22"/>
      <c r="P255" s="22"/>
      <c r="Q255" s="22"/>
      <c r="R255" s="22"/>
      <c r="S255" s="22"/>
      <c r="T255" s="22"/>
      <c r="U255" s="22"/>
      <c r="V255" s="22"/>
      <c r="W255" s="22"/>
      <c r="X255" s="22"/>
      <c r="Y255" s="22"/>
      <c r="Z255" s="22"/>
    </row>
  </sheetData>
  <sheetProtection password="A972" sheet="1" objects="1" scenarios="1"/>
  <mergeCells count="5">
    <mergeCell ref="A2:G2"/>
    <mergeCell ref="A4:G4"/>
    <mergeCell ref="B74:G74"/>
    <mergeCell ref="A128:G128"/>
    <mergeCell ref="F190:G190"/>
  </mergeCells>
  <conditionalFormatting sqref="C215:G225 A228:A237 A215:A225">
    <cfRule type="cellIs" dxfId="7" priority="5" stopIfTrue="1" operator="lessThan">
      <formula>0</formula>
    </cfRule>
  </conditionalFormatting>
  <conditionalFormatting sqref="C228:G237 C226:G226">
    <cfRule type="cellIs" dxfId="6" priority="4" stopIfTrue="1" operator="equal">
      <formula>1</formula>
    </cfRule>
  </conditionalFormatting>
  <conditionalFormatting sqref="B228:B237">
    <cfRule type="cellIs" dxfId="5" priority="3" stopIfTrue="1" operator="greaterThan">
      <formula>1</formula>
    </cfRule>
  </conditionalFormatting>
  <conditionalFormatting sqref="B228:B237">
    <cfRule type="cellIs" dxfId="4" priority="1" stopIfTrue="1" operator="greaterThan">
      <formula>1</formula>
    </cfRule>
    <cfRule type="cellIs" dxfId="3" priority="2" stopIfTrue="1" operator="equal">
      <formula>1</formula>
    </cfRule>
  </conditionalFormatting>
  <dataValidations count="2">
    <dataValidation allowBlank="1" showInputMessage="1" showErrorMessage="1" prompt="المحددة سلفاً وفق الإرشادات السادسة، يرجى تغييرها عند الضرورة فقط أو لتحليل الحساسية_x000a_" sqref="B140"/>
    <dataValidation allowBlank="1" showInputMessage="1" showErrorMessage="1" prompt="_x000a_" sqref="B139"/>
  </dataValidations>
  <pageMargins left="0.70866141732283472" right="0.70866141732283472" top="0.74803149606299213" bottom="0.74803149606299213" header="0.31496062992125984" footer="0.31496062992125984"/>
  <pageSetup scale="53" fitToHeight="0" orientation="landscape" r:id="rId1"/>
  <headerFooter>
    <oddHeader xml:space="preserve">&amp;C&amp;"Sakkal Majalla,Regular"&amp;10مجلس الخدمات المالية الإسلامية 2017 ©
هذه الوثيقة هي جزء من الملاحظة الفنية رقم 2 (الملاحظة الفنية حول اختبارات الضغط للمؤسسات التي تقدم خدمات مالية إسلامية)، ديسمبر 2016
</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002060"/>
    <pageSetUpPr fitToPage="1"/>
  </sheetPr>
  <dimension ref="A1:BA63"/>
  <sheetViews>
    <sheetView rightToLeft="1" tabSelected="1" view="pageLayout" topLeftCell="B31" zoomScale="80" zoomScaleNormal="100" zoomScaleSheetLayoutView="100" zoomScalePageLayoutView="80" workbookViewId="0">
      <selection activeCell="E25" sqref="E25"/>
    </sheetView>
  </sheetViews>
  <sheetFormatPr defaultColWidth="9.140625" defaultRowHeight="12.75" x14ac:dyDescent="0.2"/>
  <cols>
    <col min="1" max="1" width="3.7109375" style="18" hidden="1" customWidth="1"/>
    <col min="2" max="2" width="3.7109375" style="11" customWidth="1"/>
    <col min="3" max="3" width="52.140625" style="11" customWidth="1"/>
    <col min="4" max="10" width="30.7109375" style="11" customWidth="1"/>
    <col min="11" max="11" width="21.85546875" style="11" hidden="1" customWidth="1"/>
    <col min="12" max="12" width="12.140625" style="11" hidden="1" customWidth="1"/>
    <col min="13" max="13" width="15.28515625" style="11" hidden="1" customWidth="1"/>
    <col min="14" max="18" width="9.140625" style="11" hidden="1" customWidth="1"/>
    <col min="19" max="19" width="13.42578125" style="11" hidden="1" customWidth="1"/>
    <col min="20" max="20" width="12.28515625" style="11" hidden="1" customWidth="1"/>
    <col min="21" max="53" width="9.140625" style="11" hidden="1" customWidth="1"/>
    <col min="54" max="16384" width="9.140625" style="11"/>
  </cols>
  <sheetData>
    <row r="1" spans="1:22" ht="19.5" thickTop="1" x14ac:dyDescent="0.2">
      <c r="A1" s="18">
        <v>1</v>
      </c>
      <c r="C1" s="1055" t="s">
        <v>187</v>
      </c>
      <c r="D1" s="1056"/>
      <c r="E1" s="1056"/>
      <c r="F1" s="1056"/>
      <c r="G1" s="1056"/>
      <c r="H1" s="1056"/>
      <c r="I1" s="1056"/>
      <c r="J1" s="1057"/>
    </row>
    <row r="2" spans="1:22" ht="15" x14ac:dyDescent="0.35">
      <c r="A2" s="18">
        <v>1</v>
      </c>
      <c r="C2" s="1061" t="s">
        <v>268</v>
      </c>
      <c r="D2" s="1062"/>
      <c r="E2" s="1062"/>
      <c r="F2" s="1062"/>
      <c r="G2" s="1062"/>
      <c r="H2" s="1062"/>
      <c r="I2" s="1062"/>
      <c r="J2" s="1063"/>
    </row>
    <row r="3" spans="1:22" ht="15" x14ac:dyDescent="0.35">
      <c r="A3" s="18">
        <v>1</v>
      </c>
      <c r="C3" s="583"/>
      <c r="D3" s="382"/>
      <c r="E3" s="382"/>
      <c r="F3" s="382"/>
      <c r="G3" s="382"/>
      <c r="H3" s="382"/>
      <c r="I3" s="382"/>
      <c r="J3" s="582"/>
    </row>
    <row r="4" spans="1:22" ht="15" x14ac:dyDescent="0.35">
      <c r="A4" s="18">
        <v>1</v>
      </c>
      <c r="C4" s="584" t="s">
        <v>269</v>
      </c>
      <c r="D4" s="585">
        <f>COUNTIF('2-Input - IIFS Liqudity'!$I$15:$M$15,"&gt;0")</f>
        <v>5</v>
      </c>
      <c r="E4" s="382"/>
      <c r="F4" s="382"/>
      <c r="G4" s="382"/>
      <c r="H4" s="382"/>
      <c r="I4" s="382"/>
      <c r="J4" s="582"/>
    </row>
    <row r="5" spans="1:22" ht="15" x14ac:dyDescent="0.35">
      <c r="A5" s="18">
        <v>1</v>
      </c>
      <c r="C5" s="586"/>
      <c r="D5" s="382"/>
      <c r="E5" s="382"/>
      <c r="F5" s="382"/>
      <c r="G5" s="382"/>
      <c r="H5" s="382"/>
      <c r="I5" s="382"/>
      <c r="J5" s="582"/>
    </row>
    <row r="6" spans="1:22" ht="13.5" customHeight="1" x14ac:dyDescent="0.35">
      <c r="A6" s="18">
        <v>1</v>
      </c>
      <c r="C6" s="1058" t="s">
        <v>270</v>
      </c>
      <c r="D6" s="1059"/>
      <c r="E6" s="1059"/>
      <c r="F6" s="1059"/>
      <c r="G6" s="1059"/>
      <c r="H6" s="1059"/>
      <c r="I6" s="1059"/>
      <c r="J6" s="1060"/>
    </row>
    <row r="7" spans="1:22" ht="45" x14ac:dyDescent="0.2">
      <c r="A7" s="18">
        <v>1</v>
      </c>
      <c r="C7" s="587"/>
      <c r="D7" s="588" t="s">
        <v>449</v>
      </c>
      <c r="E7" s="589" t="s">
        <v>273</v>
      </c>
      <c r="F7" s="589" t="s">
        <v>450</v>
      </c>
      <c r="G7" s="589" t="s">
        <v>274</v>
      </c>
      <c r="H7" s="589" t="s">
        <v>275</v>
      </c>
      <c r="I7" s="589" t="s">
        <v>276</v>
      </c>
      <c r="J7" s="590" t="s">
        <v>277</v>
      </c>
      <c r="K7" s="47" t="s">
        <v>0</v>
      </c>
    </row>
    <row r="8" spans="1:22" ht="18" x14ac:dyDescent="0.45">
      <c r="A8" s="18">
        <v>1</v>
      </c>
      <c r="C8" s="591"/>
      <c r="D8" s="592">
        <v>0</v>
      </c>
      <c r="E8" s="592">
        <v>0</v>
      </c>
      <c r="F8" s="592">
        <v>0</v>
      </c>
      <c r="G8" s="592">
        <v>0</v>
      </c>
      <c r="H8" s="593">
        <v>0</v>
      </c>
      <c r="I8" s="594">
        <v>0</v>
      </c>
      <c r="J8" s="595">
        <f t="shared" ref="J8:J13" si="0">1-I8/$D$4</f>
        <v>1</v>
      </c>
      <c r="K8" s="19">
        <v>1</v>
      </c>
    </row>
    <row r="9" spans="1:22" ht="18" x14ac:dyDescent="0.45">
      <c r="A9" s="18">
        <v>1</v>
      </c>
      <c r="C9" s="596" t="s">
        <v>188</v>
      </c>
      <c r="D9" s="597">
        <f>+'5-Calculation'!B76</f>
        <v>5.353574048016236E-2</v>
      </c>
      <c r="E9" s="597">
        <f>+'5-Calculation'!B104</f>
        <v>0</v>
      </c>
      <c r="F9" s="597">
        <v>0</v>
      </c>
      <c r="G9" s="597">
        <f>+'4- ICFA &amp; LCR&amp; MMA&amp;NSFR'!B18/'2-Input - IIFS Liqudity'!G20</f>
        <v>3.7283694493197114E-2</v>
      </c>
      <c r="H9" s="598">
        <v>1</v>
      </c>
      <c r="I9" s="599">
        <f>+'4- ICFA &amp; LCR&amp; MMA&amp;NSFR'!B25</f>
        <v>0</v>
      </c>
      <c r="J9" s="600">
        <f t="shared" si="0"/>
        <v>1</v>
      </c>
      <c r="K9" s="20" t="e">
        <v>#VALUE!</v>
      </c>
    </row>
    <row r="10" spans="1:22" ht="18" x14ac:dyDescent="0.45">
      <c r="A10" s="18">
        <v>1</v>
      </c>
      <c r="C10" s="596" t="s">
        <v>189</v>
      </c>
      <c r="D10" s="597">
        <f>+SUM('5-Calculation'!B76:C76)</f>
        <v>0.1035555923250316</v>
      </c>
      <c r="E10" s="597">
        <f>+SUM('5-Calculation'!B104:C104)</f>
        <v>0</v>
      </c>
      <c r="F10" s="597">
        <v>0</v>
      </c>
      <c r="G10" s="597">
        <f>'4- ICFA &amp; LCR&amp; MMA&amp;NSFR'!B33/'2-Input - IIFS Liqudity'!G20</f>
        <v>7.3808631047047227E-2</v>
      </c>
      <c r="H10" s="601">
        <v>2</v>
      </c>
      <c r="I10" s="599">
        <f>+'4- ICFA &amp; LCR&amp; MMA&amp;NSFR'!B39</f>
        <v>0</v>
      </c>
      <c r="J10" s="600">
        <f t="shared" si="0"/>
        <v>1</v>
      </c>
      <c r="K10" s="20" t="e">
        <v>#VALUE!</v>
      </c>
    </row>
    <row r="11" spans="1:22" ht="18" x14ac:dyDescent="0.45">
      <c r="A11" s="18">
        <v>1</v>
      </c>
      <c r="C11" s="596" t="s">
        <v>190</v>
      </c>
      <c r="D11" s="597">
        <f>+SUM('5-Calculation'!B76:D76)</f>
        <v>0.15032938837812762</v>
      </c>
      <c r="E11" s="597">
        <f>+SUM('5-Calculation'!B104:D104)</f>
        <v>0</v>
      </c>
      <c r="F11" s="597">
        <v>0</v>
      </c>
      <c r="G11" s="597">
        <f>'4- ICFA &amp; LCR&amp; MMA&amp;NSFR'!B47/'2-Input - IIFS Liqudity'!G20</f>
        <v>0.10719019544117256</v>
      </c>
      <c r="H11" s="602">
        <v>3</v>
      </c>
      <c r="I11" s="599">
        <f>+'4- ICFA &amp; LCR&amp; MMA&amp;NSFR'!B53</f>
        <v>0</v>
      </c>
      <c r="J11" s="600">
        <f t="shared" si="0"/>
        <v>1</v>
      </c>
      <c r="K11" s="20" t="e">
        <v>#VALUE!</v>
      </c>
    </row>
    <row r="12" spans="1:22" ht="18" x14ac:dyDescent="0.45">
      <c r="A12" s="18">
        <v>1</v>
      </c>
      <c r="C12" s="596" t="s">
        <v>191</v>
      </c>
      <c r="D12" s="597">
        <f>+SUM('5-Calculation'!B76:E76)</f>
        <v>0.19410402840667632</v>
      </c>
      <c r="E12" s="597">
        <f>+SUM('5-Calculation'!B104:E104)</f>
        <v>0</v>
      </c>
      <c r="F12" s="597">
        <v>0</v>
      </c>
      <c r="G12" s="597">
        <f>'4- ICFA &amp; LCR&amp; MMA&amp;NSFR'!B61/'2-Input - IIFS Liqudity'!G20</f>
        <v>0.13517913883520505</v>
      </c>
      <c r="H12" s="603">
        <v>4</v>
      </c>
      <c r="I12" s="599">
        <f>+'4- ICFA &amp; LCR&amp; MMA&amp;NSFR'!B67</f>
        <v>0</v>
      </c>
      <c r="J12" s="600">
        <f t="shared" si="0"/>
        <v>1</v>
      </c>
      <c r="K12" s="20" t="e">
        <v>#VALUE!</v>
      </c>
    </row>
    <row r="13" spans="1:22" ht="18" x14ac:dyDescent="0.45">
      <c r="A13" s="18">
        <v>1</v>
      </c>
      <c r="C13" s="604" t="s">
        <v>192</v>
      </c>
      <c r="D13" s="605">
        <f>+SUM('5-Calculation'!B76:F76)</f>
        <v>0.23510555505134975</v>
      </c>
      <c r="E13" s="605">
        <f>+SUM('5-Calculation'!B104:F104)</f>
        <v>0</v>
      </c>
      <c r="F13" s="605">
        <v>0</v>
      </c>
      <c r="G13" s="605">
        <f>'4- ICFA &amp; LCR&amp; MMA&amp;NSFR'!B75/'2-Input - IIFS Liqudity'!G20</f>
        <v>0.16373367790506513</v>
      </c>
      <c r="H13" s="606">
        <v>5</v>
      </c>
      <c r="I13" s="607">
        <f>+'4- ICFA &amp; LCR&amp; MMA&amp;NSFR'!B81</f>
        <v>1</v>
      </c>
      <c r="J13" s="608">
        <f t="shared" si="0"/>
        <v>0.8</v>
      </c>
      <c r="K13" s="21" t="e">
        <v>#VALUE!</v>
      </c>
    </row>
    <row r="14" spans="1:22" s="17" customFormat="1" ht="18" x14ac:dyDescent="0.45">
      <c r="A14" s="18">
        <v>1</v>
      </c>
      <c r="C14" s="609"/>
      <c r="D14" s="388"/>
      <c r="E14" s="544"/>
      <c r="F14" s="544"/>
      <c r="G14" s="610"/>
      <c r="H14" s="611"/>
      <c r="I14" s="388"/>
      <c r="J14" s="612"/>
      <c r="R14" s="11"/>
      <c r="S14" s="11"/>
      <c r="T14" s="11"/>
      <c r="U14" s="11"/>
      <c r="V14" s="11"/>
    </row>
    <row r="15" spans="1:22" s="17" customFormat="1" ht="15" x14ac:dyDescent="0.35">
      <c r="A15" s="18">
        <v>1</v>
      </c>
      <c r="C15" s="613" t="s">
        <v>278</v>
      </c>
      <c r="D15" s="301">
        <f>D4-'4- ICFA &amp; LCR&amp; MMA&amp;NSFR'!B81</f>
        <v>4</v>
      </c>
      <c r="E15" s="544"/>
      <c r="F15" s="388"/>
      <c r="G15" s="388"/>
      <c r="H15" s="388"/>
      <c r="I15" s="388"/>
      <c r="J15" s="612"/>
    </row>
    <row r="16" spans="1:22" s="17" customFormat="1" ht="15" x14ac:dyDescent="0.35">
      <c r="A16" s="18">
        <v>1</v>
      </c>
      <c r="C16" s="614" t="s">
        <v>193</v>
      </c>
      <c r="D16" s="301">
        <f>+'4- ICFA &amp; LCR&amp; MMA&amp;NSFR'!B82</f>
        <v>-264039.09160361253</v>
      </c>
      <c r="E16" s="544"/>
      <c r="F16" s="388"/>
      <c r="G16" s="388"/>
      <c r="H16" s="388"/>
      <c r="I16" s="388"/>
      <c r="J16" s="612"/>
    </row>
    <row r="17" spans="1:10" s="17" customFormat="1" ht="26.45" customHeight="1" x14ac:dyDescent="0.35">
      <c r="A17" s="18">
        <v>1</v>
      </c>
      <c r="C17" s="614" t="s">
        <v>279</v>
      </c>
      <c r="D17" s="615">
        <f>+D16/'2-Input - IIFS Liqudity'!G15</f>
        <v>-3.2166885064640674E-3</v>
      </c>
      <c r="E17" s="519"/>
      <c r="F17" s="388"/>
      <c r="G17" s="388"/>
      <c r="H17" s="388"/>
      <c r="I17" s="388"/>
      <c r="J17" s="612"/>
    </row>
    <row r="18" spans="1:10" s="17" customFormat="1" ht="13.15" customHeight="1" x14ac:dyDescent="0.35">
      <c r="A18" s="18">
        <v>1</v>
      </c>
      <c r="C18" s="609"/>
      <c r="D18" s="388"/>
      <c r="E18" s="519"/>
      <c r="F18" s="388"/>
      <c r="G18" s="388"/>
      <c r="H18" s="388"/>
      <c r="I18" s="388"/>
      <c r="J18" s="612"/>
    </row>
    <row r="19" spans="1:10" ht="12.75" customHeight="1" x14ac:dyDescent="0.35">
      <c r="A19" s="18">
        <v>1</v>
      </c>
      <c r="C19" s="1064" t="s">
        <v>355</v>
      </c>
      <c r="D19" s="1065"/>
      <c r="E19" s="1065"/>
      <c r="F19" s="1065"/>
      <c r="G19" s="1065"/>
      <c r="H19" s="1065"/>
      <c r="I19" s="1065"/>
      <c r="J19" s="1066"/>
    </row>
    <row r="20" spans="1:10" ht="15" x14ac:dyDescent="0.35">
      <c r="A20" s="18">
        <v>1</v>
      </c>
      <c r="C20" s="583"/>
      <c r="D20" s="382"/>
      <c r="E20" s="382"/>
      <c r="F20" s="382"/>
      <c r="G20" s="382"/>
      <c r="H20" s="382"/>
      <c r="I20" s="382"/>
      <c r="J20" s="582"/>
    </row>
    <row r="21" spans="1:10" ht="30" x14ac:dyDescent="0.35">
      <c r="A21" s="18">
        <v>1</v>
      </c>
      <c r="C21" s="587" t="s">
        <v>280</v>
      </c>
      <c r="D21" s="527" t="s">
        <v>281</v>
      </c>
      <c r="E21" s="527" t="s">
        <v>282</v>
      </c>
      <c r="F21" s="589" t="s">
        <v>283</v>
      </c>
      <c r="G21" s="616" t="s">
        <v>284</v>
      </c>
      <c r="H21" s="617" t="s">
        <v>285</v>
      </c>
      <c r="I21" s="588" t="s">
        <v>194</v>
      </c>
      <c r="J21" s="582"/>
    </row>
    <row r="22" spans="1:10" ht="18" x14ac:dyDescent="0.45">
      <c r="A22" s="18">
        <v>1</v>
      </c>
      <c r="C22" s="618">
        <f>+'5-Calculation'!I76</f>
        <v>7.2352179292466151E-2</v>
      </c>
      <c r="D22" s="619">
        <f>+'5-Calculation'!I104</f>
        <v>0</v>
      </c>
      <c r="E22" s="619">
        <f>+'4- ICFA &amp; LCR&amp; MMA&amp;NSFR'!B92/'2-Input - IIFS Liqudity'!G20</f>
        <v>5.089904101571701E-2</v>
      </c>
      <c r="F22" s="593" t="s">
        <v>18</v>
      </c>
      <c r="G22" s="620">
        <f>'4- ICFA &amp; LCR&amp; MMA&amp;NSFR'!B99</f>
        <v>0</v>
      </c>
      <c r="H22" s="592">
        <f>G22/$D$4</f>
        <v>0</v>
      </c>
      <c r="I22" s="621"/>
      <c r="J22" s="582"/>
    </row>
    <row r="23" spans="1:10" ht="18" x14ac:dyDescent="0.45">
      <c r="A23" s="18">
        <v>1</v>
      </c>
      <c r="C23" s="583"/>
      <c r="D23" s="382"/>
      <c r="E23" s="382"/>
      <c r="F23" s="606" t="s">
        <v>17</v>
      </c>
      <c r="G23" s="607">
        <f>D4-G22</f>
        <v>5</v>
      </c>
      <c r="H23" s="605">
        <f>G23/$D$4</f>
        <v>1</v>
      </c>
      <c r="I23" s="622"/>
      <c r="J23" s="582"/>
    </row>
    <row r="24" spans="1:10" s="12" customFormat="1" ht="18" x14ac:dyDescent="0.45">
      <c r="A24" s="18">
        <v>1</v>
      </c>
      <c r="C24" s="609"/>
      <c r="D24" s="388"/>
      <c r="E24" s="388"/>
      <c r="F24" s="544"/>
      <c r="G24" s="544"/>
      <c r="H24" s="610"/>
      <c r="I24" s="610"/>
      <c r="J24" s="612"/>
    </row>
    <row r="25" spans="1:10" s="12" customFormat="1" ht="15" x14ac:dyDescent="0.35">
      <c r="A25" s="18">
        <v>1</v>
      </c>
      <c r="C25" s="613" t="s">
        <v>286</v>
      </c>
      <c r="D25" s="258">
        <f>G22</f>
        <v>0</v>
      </c>
      <c r="E25" s="388"/>
      <c r="F25" s="388"/>
      <c r="G25" s="388"/>
      <c r="H25" s="388"/>
      <c r="I25" s="388"/>
      <c r="J25" s="612"/>
    </row>
    <row r="26" spans="1:10" s="12" customFormat="1" ht="15" x14ac:dyDescent="0.35">
      <c r="A26" s="18">
        <v>1</v>
      </c>
      <c r="C26" s="613" t="s">
        <v>193</v>
      </c>
      <c r="D26" s="258">
        <f>+'4- ICFA &amp; LCR&amp; MMA&amp;NSFR'!B100</f>
        <v>0</v>
      </c>
      <c r="E26" s="388"/>
      <c r="F26" s="388"/>
      <c r="G26" s="388"/>
      <c r="H26" s="388"/>
      <c r="I26" s="388"/>
      <c r="J26" s="612"/>
    </row>
    <row r="27" spans="1:10" ht="13.15" customHeight="1" x14ac:dyDescent="0.35">
      <c r="A27" s="18">
        <v>1</v>
      </c>
      <c r="C27" s="613" t="s">
        <v>279</v>
      </c>
      <c r="D27" s="194">
        <v>0</v>
      </c>
      <c r="E27" s="519"/>
      <c r="F27" s="388"/>
      <c r="G27" s="388"/>
      <c r="H27" s="388"/>
      <c r="I27" s="388"/>
      <c r="J27" s="582"/>
    </row>
    <row r="28" spans="1:10" ht="13.15" customHeight="1" x14ac:dyDescent="0.35">
      <c r="A28" s="18">
        <v>1</v>
      </c>
      <c r="C28" s="609"/>
      <c r="D28" s="388"/>
      <c r="E28" s="519"/>
      <c r="F28" s="388"/>
      <c r="G28" s="388"/>
      <c r="H28" s="388"/>
      <c r="I28" s="388"/>
      <c r="J28" s="582"/>
    </row>
    <row r="29" spans="1:10" ht="15" x14ac:dyDescent="0.35">
      <c r="A29" s="18">
        <v>1</v>
      </c>
      <c r="C29" s="583"/>
      <c r="D29" s="382"/>
      <c r="E29" s="382"/>
      <c r="F29" s="382"/>
      <c r="G29" s="382"/>
      <c r="H29" s="382"/>
      <c r="I29" s="382"/>
      <c r="J29" s="582"/>
    </row>
    <row r="30" spans="1:10" ht="12.75" customHeight="1" x14ac:dyDescent="0.35">
      <c r="A30" s="18">
        <v>1</v>
      </c>
      <c r="C30" s="623" t="s">
        <v>209</v>
      </c>
      <c r="D30" s="624"/>
      <c r="E30" s="624"/>
      <c r="F30" s="624"/>
      <c r="G30" s="624"/>
      <c r="H30" s="624"/>
      <c r="I30" s="624"/>
      <c r="J30" s="625"/>
    </row>
    <row r="31" spans="1:10" ht="15" x14ac:dyDescent="0.35">
      <c r="C31" s="626"/>
      <c r="D31" s="627"/>
      <c r="E31" s="627"/>
      <c r="F31" s="628"/>
      <c r="G31" s="627"/>
      <c r="H31" s="627"/>
      <c r="I31" s="629"/>
      <c r="J31" s="582"/>
    </row>
    <row r="32" spans="1:10" ht="18" x14ac:dyDescent="0.35">
      <c r="A32" s="18">
        <v>1</v>
      </c>
      <c r="C32" s="885" t="s">
        <v>287</v>
      </c>
      <c r="D32" s="630">
        <f>+'4- ICFA &amp; LCR&amp; MMA&amp;NSFR'!B111</f>
        <v>0.31008024259666911</v>
      </c>
      <c r="E32" s="382"/>
      <c r="F32" s="589" t="s">
        <v>36</v>
      </c>
      <c r="G32" s="617" t="s">
        <v>284</v>
      </c>
      <c r="H32" s="617" t="s">
        <v>285</v>
      </c>
      <c r="I32" s="589" t="s">
        <v>194</v>
      </c>
      <c r="J32" s="582"/>
    </row>
    <row r="33" spans="1:10" ht="18" x14ac:dyDescent="0.35">
      <c r="A33" s="18">
        <v>1</v>
      </c>
      <c r="C33" s="886" t="s">
        <v>288</v>
      </c>
      <c r="D33" s="631">
        <f>'4- ICFA &amp; LCR&amp; MMA&amp;NSFR'!B124/'2-Input - IIFS Liqudity'!G15</f>
        <v>1.2340070437801146E-2</v>
      </c>
      <c r="E33" s="632" t="s">
        <v>291</v>
      </c>
      <c r="F33" s="633" t="s">
        <v>196</v>
      </c>
      <c r="G33" s="634">
        <f>COUNTIF('4- ICFA &amp; LCR&amp; MMA&amp;NSFR'!D126:H126,"&lt;0.25")</f>
        <v>0</v>
      </c>
      <c r="H33" s="630">
        <f>G33/$D$4</f>
        <v>0</v>
      </c>
      <c r="I33" s="635">
        <f>SUMIF('4- ICFA &amp; LCR&amp; MMA&amp;NSFR'!D126:H126,"&lt;0.25",'4- ICFA &amp; LCR&amp; MMA&amp;NSFR'!D105:H105)/'4- ICFA &amp; LCR&amp; MMA&amp;NSFR'!B105</f>
        <v>0</v>
      </c>
      <c r="J33" s="582"/>
    </row>
    <row r="34" spans="1:10" ht="18" customHeight="1" x14ac:dyDescent="0.35">
      <c r="A34" s="18">
        <v>1</v>
      </c>
      <c r="C34" s="886" t="s">
        <v>289</v>
      </c>
      <c r="D34" s="804">
        <f>D32+D33</f>
        <v>0.32242031303447027</v>
      </c>
      <c r="E34" s="632" t="s">
        <v>291</v>
      </c>
      <c r="F34" s="636" t="s">
        <v>197</v>
      </c>
      <c r="G34" s="637">
        <f>COUNTIF('4- ICFA &amp; LCR&amp; MMA&amp;NSFR'!D126:H126,"&lt;0.25")-G33</f>
        <v>0</v>
      </c>
      <c r="H34" s="631">
        <f>G34/$D$4</f>
        <v>0</v>
      </c>
      <c r="I34" s="638">
        <f>SUMIF('4- ICFA &amp; LCR&amp; MMA&amp;NSFR'!D126:H126,"&lt;0.5",'4- ICFA &amp; LCR&amp; MMA&amp;NSFR'!D105:H105)/'4- ICFA &amp; LCR&amp; MMA&amp;NSFR'!$B$105-I33</f>
        <v>0</v>
      </c>
      <c r="J34" s="582"/>
    </row>
    <row r="35" spans="1:10" ht="18" customHeight="1" x14ac:dyDescent="0.35">
      <c r="A35" s="18">
        <v>1</v>
      </c>
      <c r="C35" s="887" t="s">
        <v>290</v>
      </c>
      <c r="D35" s="853">
        <f>+'4- ICFA &amp; LCR&amp; MMA&amp;NSFR'!B119/'2-Input - IIFS Liqudity'!G15</f>
        <v>8.1945687036496087E-2</v>
      </c>
      <c r="E35" s="632" t="s">
        <v>291</v>
      </c>
      <c r="F35" s="639" t="s">
        <v>198</v>
      </c>
      <c r="G35" s="637">
        <f>COUNTIF('4- ICFA &amp; LCR&amp; MMA&amp;NSFR'!$D$126:$H$126,"&lt;0.5")-SUM(G33:G34)</f>
        <v>0</v>
      </c>
      <c r="H35" s="631">
        <f>G35/$D$4</f>
        <v>0</v>
      </c>
      <c r="I35" s="638">
        <f>SUMIF('4- ICFA &amp; LCR&amp; MMA&amp;NSFR'!D126:H126,"&lt;0.75",'4- ICFA &amp; LCR&amp; MMA&amp;NSFR'!D105:H105)/'4- ICFA &amp; LCR&amp; MMA&amp;NSFR'!B105-I33-I34</f>
        <v>0</v>
      </c>
      <c r="J35" s="582"/>
    </row>
    <row r="36" spans="1:10" ht="18" x14ac:dyDescent="0.35">
      <c r="A36" s="18">
        <v>1</v>
      </c>
      <c r="C36" s="583"/>
      <c r="D36" s="382"/>
      <c r="E36" s="632" t="s">
        <v>291</v>
      </c>
      <c r="F36" s="640" t="s">
        <v>199</v>
      </c>
      <c r="G36" s="637">
        <f>COUNTIF('4- ICFA &amp; LCR&amp; MMA&amp;NSFR'!$D$126:$H$126,"&lt;0.75")-SUM(G34:G35)</f>
        <v>0</v>
      </c>
      <c r="H36" s="631">
        <f>G36/$D$4</f>
        <v>0</v>
      </c>
      <c r="I36" s="638">
        <f>SUMIF('4- ICFA &amp; LCR&amp; MMA&amp;NSFR'!D126:H126,"&lt;1",'4- ICFA &amp; LCR&amp; MMA&amp;NSFR'!D105:H105)/'4- ICFA &amp; LCR&amp; MMA&amp;NSFR'!B105-I33-I34-I35</f>
        <v>0</v>
      </c>
      <c r="J36" s="582"/>
    </row>
    <row r="37" spans="1:10" ht="18" x14ac:dyDescent="0.35">
      <c r="A37" s="18">
        <v>1</v>
      </c>
      <c r="C37" s="613" t="s">
        <v>200</v>
      </c>
      <c r="D37" s="641">
        <f>+'4- ICFA &amp; LCR&amp; MMA&amp;NSFR'!B126</f>
        <v>4.4770427520372236</v>
      </c>
      <c r="E37" s="632" t="s">
        <v>201</v>
      </c>
      <c r="F37" s="642" t="s">
        <v>202</v>
      </c>
      <c r="G37" s="643">
        <f>COUNT('4- ICFA &amp; LCR&amp; MMA&amp;NSFR'!$D$126:$H$126)-SUM(G35:G36)</f>
        <v>5</v>
      </c>
      <c r="H37" s="644">
        <f>G37/$D$4</f>
        <v>1</v>
      </c>
      <c r="I37" s="645">
        <f>SUMIF('4- ICFA &amp; LCR&amp; MMA&amp;NSFR'!D126:H126,"&gt;1",'4- ICFA &amp; LCR&amp; MMA&amp;NSFR'!D105:H105)/'4- ICFA &amp; LCR&amp; MMA&amp;NSFR'!B105</f>
        <v>1</v>
      </c>
      <c r="J37" s="582"/>
    </row>
    <row r="38" spans="1:10" s="12" customFormat="1" ht="18" x14ac:dyDescent="0.45">
      <c r="A38" s="18">
        <v>1</v>
      </c>
      <c r="C38" s="613" t="s">
        <v>203</v>
      </c>
      <c r="D38" s="641">
        <f>MEDIAN('4- ICFA &amp; LCR&amp; MMA&amp;NSFR'!D126:H126)</f>
        <v>4.8903810068890943</v>
      </c>
      <c r="E38" s="519"/>
      <c r="F38" s="544"/>
      <c r="G38" s="544"/>
      <c r="H38" s="610"/>
      <c r="I38" s="610"/>
      <c r="J38" s="612"/>
    </row>
    <row r="39" spans="1:10" ht="18" customHeight="1" x14ac:dyDescent="0.35">
      <c r="A39" s="18">
        <v>1</v>
      </c>
      <c r="C39" s="613" t="s">
        <v>286</v>
      </c>
      <c r="D39" s="258">
        <f>+'4- ICFA &amp; LCR&amp; MMA&amp;NSFR'!B128</f>
        <v>0</v>
      </c>
      <c r="E39" s="382"/>
      <c r="F39" s="382"/>
      <c r="G39" s="382"/>
      <c r="H39" s="382"/>
      <c r="I39" s="382"/>
      <c r="J39" s="582"/>
    </row>
    <row r="40" spans="1:10" ht="15" x14ac:dyDescent="0.35">
      <c r="A40" s="18">
        <v>1</v>
      </c>
      <c r="C40" s="613" t="s">
        <v>193</v>
      </c>
      <c r="D40" s="646">
        <f>+'4- ICFA &amp; LCR&amp; MMA&amp;NSFR'!B127</f>
        <v>0</v>
      </c>
      <c r="E40" s="382"/>
      <c r="F40" s="382"/>
      <c r="G40" s="382"/>
      <c r="H40" s="382"/>
      <c r="I40" s="382"/>
      <c r="J40" s="582"/>
    </row>
    <row r="41" spans="1:10" ht="15" x14ac:dyDescent="0.35">
      <c r="A41" s="18">
        <v>1</v>
      </c>
      <c r="C41" s="613" t="s">
        <v>195</v>
      </c>
      <c r="D41" s="194">
        <f>D40/'2-Input - IIFS Liqudity'!G15</f>
        <v>0</v>
      </c>
      <c r="E41" s="382"/>
      <c r="F41" s="382"/>
      <c r="G41" s="382"/>
      <c r="H41" s="382"/>
      <c r="I41" s="382"/>
      <c r="J41" s="582"/>
    </row>
    <row r="42" spans="1:10" ht="15" x14ac:dyDescent="0.35">
      <c r="A42" s="18">
        <v>1</v>
      </c>
      <c r="C42" s="583"/>
      <c r="D42" s="382"/>
      <c r="E42" s="382"/>
      <c r="F42" s="382"/>
      <c r="G42" s="382"/>
      <c r="H42" s="382"/>
      <c r="I42" s="382"/>
      <c r="J42" s="582"/>
    </row>
    <row r="43" spans="1:10" ht="12.75" customHeight="1" x14ac:dyDescent="0.35">
      <c r="A43" s="18">
        <v>1</v>
      </c>
      <c r="C43" s="1058" t="s">
        <v>204</v>
      </c>
      <c r="D43" s="1059"/>
      <c r="E43" s="1059"/>
      <c r="F43" s="1059"/>
      <c r="G43" s="1059"/>
      <c r="H43" s="1059"/>
      <c r="I43" s="1059"/>
      <c r="J43" s="1060"/>
    </row>
    <row r="44" spans="1:10" ht="18" x14ac:dyDescent="0.45">
      <c r="A44" s="18">
        <v>1</v>
      </c>
      <c r="C44" s="647"/>
      <c r="D44" s="648"/>
      <c r="E44" s="648"/>
      <c r="F44" s="648"/>
      <c r="G44" s="648"/>
      <c r="H44" s="648"/>
      <c r="I44" s="648"/>
      <c r="J44" s="582"/>
    </row>
    <row r="45" spans="1:10" ht="30" x14ac:dyDescent="0.45">
      <c r="A45" s="18">
        <v>1</v>
      </c>
      <c r="C45" s="847" t="s">
        <v>205</v>
      </c>
      <c r="D45" s="851" t="s">
        <v>325</v>
      </c>
      <c r="E45" s="851" t="s">
        <v>279</v>
      </c>
      <c r="F45" s="648"/>
      <c r="G45" s="382"/>
      <c r="H45" s="382"/>
      <c r="I45" s="648"/>
      <c r="J45" s="582"/>
    </row>
    <row r="46" spans="1:10" ht="15" customHeight="1" x14ac:dyDescent="0.45">
      <c r="A46" s="18">
        <v>1</v>
      </c>
      <c r="C46" s="848">
        <v>0</v>
      </c>
      <c r="D46" s="649">
        <f>+'5-Calculation'!B228</f>
        <v>0</v>
      </c>
      <c r="E46" s="878">
        <f>SUMIF('5-Calculation'!C227:G227,"&gt;0",'4- ICFA &amp; LCR&amp; MMA&amp;NSFR'!$D$13:$H$13)/'4- ICFA &amp; LCR&amp; MMA&amp;NSFR'!$B$13</f>
        <v>0</v>
      </c>
      <c r="F46" s="648"/>
      <c r="G46" s="648"/>
      <c r="H46" s="648"/>
      <c r="I46" s="648"/>
      <c r="J46" s="582"/>
    </row>
    <row r="47" spans="1:10" ht="18" x14ac:dyDescent="0.45">
      <c r="A47" s="18">
        <v>1</v>
      </c>
      <c r="C47" s="849" t="s">
        <v>1</v>
      </c>
      <c r="D47" s="649">
        <f>+'5-Calculation'!B228</f>
        <v>0</v>
      </c>
      <c r="E47" s="878">
        <f>SUMIF('5-Calculation'!C228:G228,"&gt;0",'4- ICFA &amp; LCR&amp; MMA&amp;NSFR'!$D$13:$H$13)/'4- ICFA &amp; LCR&amp; MMA&amp;NSFR'!$B$13</f>
        <v>0</v>
      </c>
      <c r="F47" s="648"/>
      <c r="G47" s="648"/>
      <c r="H47" s="648"/>
      <c r="I47" s="648"/>
      <c r="J47" s="582"/>
    </row>
    <row r="48" spans="1:10" ht="18" x14ac:dyDescent="0.45">
      <c r="A48" s="18">
        <v>1</v>
      </c>
      <c r="C48" s="849" t="s">
        <v>7</v>
      </c>
      <c r="D48" s="649">
        <f>+'5-Calculation'!B229</f>
        <v>2</v>
      </c>
      <c r="E48" s="878">
        <f>SUMIF('5-Calculation'!C229:G229,"&gt;0",'4- ICFA &amp; LCR&amp; MMA&amp;NSFR'!$D$13:$H$13)/'4- ICFA &amp; LCR&amp; MMA&amp;NSFR'!$B$13</f>
        <v>0.40563851561403547</v>
      </c>
      <c r="F48" s="382"/>
      <c r="G48" s="382"/>
      <c r="H48" s="382"/>
      <c r="I48" s="382"/>
      <c r="J48" s="582"/>
    </row>
    <row r="49" spans="1:10" ht="18" x14ac:dyDescent="0.45">
      <c r="A49" s="18">
        <v>1</v>
      </c>
      <c r="C49" s="849" t="s">
        <v>3</v>
      </c>
      <c r="D49" s="649">
        <f>+'5-Calculation'!B230</f>
        <v>5</v>
      </c>
      <c r="E49" s="878">
        <f>SUMIF('5-Calculation'!C230:G230,"&gt;0",'4- ICFA &amp; LCR&amp; MMA&amp;NSFR'!$D$13:$H$13)/'4- ICFA &amp; LCR&amp; MMA&amp;NSFR'!$B$13</f>
        <v>1</v>
      </c>
      <c r="F49" s="382"/>
      <c r="G49" s="382"/>
      <c r="H49" s="382"/>
      <c r="I49" s="382"/>
      <c r="J49" s="582"/>
    </row>
    <row r="50" spans="1:10" ht="18" x14ac:dyDescent="0.45">
      <c r="A50" s="18">
        <v>1</v>
      </c>
      <c r="C50" s="849" t="s">
        <v>4</v>
      </c>
      <c r="D50" s="649">
        <f>+'5-Calculation'!B231</f>
        <v>5</v>
      </c>
      <c r="E50" s="878">
        <f>SUMIF('5-Calculation'!C231:G231,"&gt;0",'4- ICFA &amp; LCR&amp; MMA&amp;NSFR'!$D$13:$H$13)/'4- ICFA &amp; LCR&amp; MMA&amp;NSFR'!$B$13</f>
        <v>1</v>
      </c>
      <c r="F50" s="382"/>
      <c r="G50" s="382"/>
      <c r="H50" s="382"/>
      <c r="I50" s="382"/>
      <c r="J50" s="582"/>
    </row>
    <row r="51" spans="1:10" ht="18" x14ac:dyDescent="0.45">
      <c r="C51" s="850" t="s">
        <v>6</v>
      </c>
      <c r="D51" s="852"/>
      <c r="E51" s="806"/>
      <c r="F51" s="382"/>
      <c r="G51" s="382"/>
      <c r="H51" s="382"/>
      <c r="I51" s="382"/>
      <c r="J51" s="582"/>
    </row>
    <row r="52" spans="1:10" ht="15" x14ac:dyDescent="0.35">
      <c r="A52" s="18">
        <v>1</v>
      </c>
      <c r="C52" s="583"/>
      <c r="D52" s="382"/>
      <c r="E52" s="382"/>
      <c r="F52" s="382"/>
      <c r="G52" s="382"/>
      <c r="H52" s="382"/>
      <c r="I52" s="382"/>
      <c r="J52" s="582"/>
    </row>
    <row r="53" spans="1:10" ht="12.75" customHeight="1" x14ac:dyDescent="0.35">
      <c r="A53" s="18">
        <v>1</v>
      </c>
      <c r="C53" s="1058" t="s">
        <v>292</v>
      </c>
      <c r="D53" s="1059"/>
      <c r="E53" s="1059"/>
      <c r="F53" s="1059"/>
      <c r="G53" s="1059"/>
      <c r="H53" s="1059"/>
      <c r="I53" s="1059"/>
      <c r="J53" s="1060"/>
    </row>
    <row r="54" spans="1:10" ht="15" x14ac:dyDescent="0.35">
      <c r="A54" s="18">
        <v>1</v>
      </c>
      <c r="C54" s="583"/>
      <c r="D54" s="382"/>
      <c r="E54" s="382"/>
      <c r="F54" s="382"/>
      <c r="G54" s="382"/>
      <c r="H54" s="382"/>
      <c r="I54" s="382"/>
      <c r="J54" s="582"/>
    </row>
    <row r="55" spans="1:10" ht="15" x14ac:dyDescent="0.35">
      <c r="A55" s="18">
        <v>1</v>
      </c>
      <c r="C55" s="613" t="s">
        <v>293</v>
      </c>
      <c r="D55" s="650">
        <f>+'4- ICFA &amp; LCR&amp; MMA&amp;NSFR'!B136/'2-Input - IIFS Liqudity'!G15</f>
        <v>0.18195574167797998</v>
      </c>
      <c r="E55" s="382"/>
      <c r="F55" s="589" t="s">
        <v>24</v>
      </c>
      <c r="G55" s="617" t="s">
        <v>284</v>
      </c>
      <c r="H55" s="617" t="s">
        <v>285</v>
      </c>
      <c r="I55" s="589" t="s">
        <v>194</v>
      </c>
      <c r="J55" s="582"/>
    </row>
    <row r="56" spans="1:10" ht="18" x14ac:dyDescent="0.35">
      <c r="A56" s="18">
        <v>1</v>
      </c>
      <c r="C56" s="613" t="s">
        <v>294</v>
      </c>
      <c r="D56" s="650">
        <f>+'4- ICFA &amp; LCR&amp; MMA&amp;NSFR'!B138/'2-Input - IIFS Liqudity'!G15</f>
        <v>4.4259389195126488E-2</v>
      </c>
      <c r="E56" s="651" t="s">
        <v>291</v>
      </c>
      <c r="F56" s="593" t="s">
        <v>196</v>
      </c>
      <c r="G56" s="652">
        <f>COUNTIF('4- ICFA &amp; LCR&amp; MMA&amp;NSFR'!D140:H140,"&lt;0.25")</f>
        <v>0</v>
      </c>
      <c r="H56" s="630">
        <f>G56/$D$4</f>
        <v>0</v>
      </c>
      <c r="I56" s="635">
        <f>SUMIF('4- ICFA &amp; LCR&amp; MMA&amp;NSFR'!D140:H140,"&lt;0.25",'4- ICFA &amp; LCR&amp; MMA&amp;NSFR'!D119:H119)/'4- ICFA &amp; LCR&amp; MMA&amp;NSFR'!B119</f>
        <v>0</v>
      </c>
      <c r="J56" s="582"/>
    </row>
    <row r="57" spans="1:10" ht="18" x14ac:dyDescent="0.35">
      <c r="A57" s="18">
        <v>1</v>
      </c>
      <c r="C57" s="583"/>
      <c r="D57" s="382"/>
      <c r="E57" s="651" t="s">
        <v>291</v>
      </c>
      <c r="F57" s="598" t="s">
        <v>197</v>
      </c>
      <c r="G57" s="653">
        <f>COUNTIF('4- ICFA &amp; LCR&amp; MMA&amp;NSFR'!D140:H140,"&lt;0.25")-G56</f>
        <v>0</v>
      </c>
      <c r="H57" s="631">
        <f>G57/$D$4</f>
        <v>0</v>
      </c>
      <c r="I57" s="638">
        <f>SUMIF('4- ICFA &amp; LCR&amp; MMA&amp;NSFR'!D140:H140,"&lt;0.5",'4- ICFA &amp; LCR&amp; MMA&amp;NSFR'!D119:H119)/'4- ICFA &amp; LCR&amp; MMA&amp;NSFR'!$B$105-I56</f>
        <v>0</v>
      </c>
      <c r="J57" s="582"/>
    </row>
    <row r="58" spans="1:10" ht="18" x14ac:dyDescent="0.35">
      <c r="A58" s="18">
        <v>1</v>
      </c>
      <c r="C58" s="613" t="s">
        <v>207</v>
      </c>
      <c r="D58" s="641">
        <f>+'4- ICFA &amp; LCR&amp; MMA&amp;NSFR'!B140</f>
        <v>4.08841925121438</v>
      </c>
      <c r="E58" s="651" t="s">
        <v>291</v>
      </c>
      <c r="F58" s="601" t="s">
        <v>198</v>
      </c>
      <c r="G58" s="654">
        <f>COUNTIF('4- ICFA &amp; LCR&amp; MMA&amp;NSFR'!$D$140:$H$140,"&lt;0.5")-SUM(G56:G57)</f>
        <v>0</v>
      </c>
      <c r="H58" s="631">
        <f>G58/$D$4</f>
        <v>0</v>
      </c>
      <c r="I58" s="638">
        <f>SUMIF('4- ICFA &amp; LCR&amp; MMA&amp;NSFR'!D140:H140,"&lt;0.75",'4- ICFA &amp; LCR&amp; MMA&amp;NSFR'!D119:H119)/'4- ICFA &amp; LCR&amp; MMA&amp;NSFR'!B119-I56-I57</f>
        <v>0</v>
      </c>
      <c r="J58" s="582"/>
    </row>
    <row r="59" spans="1:10" ht="18" x14ac:dyDescent="0.35">
      <c r="A59" s="18">
        <v>1</v>
      </c>
      <c r="C59" s="613" t="s">
        <v>208</v>
      </c>
      <c r="D59" s="641">
        <f>MEDIAN('4- ICFA &amp; LCR&amp; MMA&amp;NSFR'!D140:H140)</f>
        <v>3.8678136477406926</v>
      </c>
      <c r="E59" s="651" t="s">
        <v>291</v>
      </c>
      <c r="F59" s="602" t="s">
        <v>199</v>
      </c>
      <c r="G59" s="654">
        <f>COUNTIF('4- ICFA &amp; LCR&amp; MMA&amp;NSFR'!$D$140:$H$140,"&lt;0.75")-SUM(G57:G58)</f>
        <v>0</v>
      </c>
      <c r="H59" s="631">
        <f>G59/$D$4</f>
        <v>0</v>
      </c>
      <c r="I59" s="638">
        <f>SUMIF('4- ICFA &amp; LCR&amp; MMA&amp;NSFR'!D140:H140,"&lt;1",'4- ICFA &amp; LCR&amp; MMA&amp;NSFR'!D119:H119)/'4- ICFA &amp; LCR&amp; MMA&amp;NSFR'!B119-I56-I57-I58</f>
        <v>0</v>
      </c>
      <c r="J59" s="582"/>
    </row>
    <row r="60" spans="1:10" ht="18" x14ac:dyDescent="0.35">
      <c r="A60" s="18">
        <v>1</v>
      </c>
      <c r="C60" s="613" t="s">
        <v>286</v>
      </c>
      <c r="D60" s="258">
        <f>+'4- ICFA &amp; LCR&amp; MMA&amp;NSFR'!B142</f>
        <v>0</v>
      </c>
      <c r="E60" s="651" t="s">
        <v>201</v>
      </c>
      <c r="F60" s="606" t="s">
        <v>202</v>
      </c>
      <c r="G60" s="655">
        <f>COUNT('4- ICFA &amp; LCR&amp; MMA&amp;NSFR'!$D$140:$H$140)-SUM(G58:G59)</f>
        <v>5</v>
      </c>
      <c r="H60" s="644">
        <f>G60/$D$4</f>
        <v>1</v>
      </c>
      <c r="I60" s="645">
        <f>SUMIF('4- ICFA &amp; LCR&amp; MMA&amp;NSFR'!D140:H140,"&gt;1",'4- ICFA &amp; LCR&amp; MMA&amp;NSFR'!D119:H119)/'4- ICFA &amp; LCR&amp; MMA&amp;NSFR'!B119</f>
        <v>1</v>
      </c>
      <c r="J60" s="582"/>
    </row>
    <row r="61" spans="1:10" ht="15" x14ac:dyDescent="0.35">
      <c r="A61" s="18">
        <v>1</v>
      </c>
      <c r="C61" s="613" t="s">
        <v>193</v>
      </c>
      <c r="D61" s="646">
        <f>+'4- ICFA &amp; LCR&amp; MMA&amp;NSFR'!B141</f>
        <v>0</v>
      </c>
      <c r="E61" s="382"/>
      <c r="F61" s="382"/>
      <c r="G61" s="382"/>
      <c r="H61" s="382"/>
      <c r="I61" s="382"/>
      <c r="J61" s="582"/>
    </row>
    <row r="62" spans="1:10" ht="15.75" thickBot="1" x14ac:dyDescent="0.4">
      <c r="A62" s="18">
        <v>1</v>
      </c>
      <c r="C62" s="888" t="s">
        <v>451</v>
      </c>
      <c r="D62" s="656">
        <f>D61/'2-Input - IIFS Liqudity'!G20</f>
        <v>0</v>
      </c>
      <c r="E62" s="657"/>
      <c r="F62" s="657"/>
      <c r="G62" s="657"/>
      <c r="H62" s="657"/>
      <c r="I62" s="657"/>
      <c r="J62" s="658"/>
    </row>
    <row r="63" spans="1:10" ht="13.5" thickTop="1" x14ac:dyDescent="0.2">
      <c r="A63" s="18">
        <v>1</v>
      </c>
    </row>
  </sheetData>
  <sheetProtection password="A972" sheet="1" objects="1" scenarios="1"/>
  <mergeCells count="6">
    <mergeCell ref="C1:J1"/>
    <mergeCell ref="C6:J6"/>
    <mergeCell ref="C53:J53"/>
    <mergeCell ref="C2:J2"/>
    <mergeCell ref="C19:J19"/>
    <mergeCell ref="C43:J43"/>
  </mergeCells>
  <conditionalFormatting sqref="D3 D5">
    <cfRule type="cellIs" dxfId="2" priority="172" stopIfTrue="1" operator="greaterThan">
      <formula>0</formula>
    </cfRule>
  </conditionalFormatting>
  <conditionalFormatting sqref="D3">
    <cfRule type="colorScale" priority="171">
      <colorScale>
        <cfvo type="min"/>
        <cfvo type="percentile" val="50"/>
        <cfvo type="max"/>
        <color rgb="FF63BE7B"/>
        <color rgb="FFFFEB84"/>
        <color rgb="FFF8696B"/>
      </colorScale>
    </cfRule>
  </conditionalFormatting>
  <conditionalFormatting sqref="D3">
    <cfRule type="colorScale" priority="170">
      <colorScale>
        <cfvo type="num" val="0"/>
        <cfvo type="num" val="1"/>
        <color rgb="FF63BE7B"/>
        <color rgb="FFFFEF9C"/>
      </colorScale>
    </cfRule>
  </conditionalFormatting>
  <conditionalFormatting sqref="J15:AG15 E15">
    <cfRule type="colorScale" priority="169">
      <colorScale>
        <cfvo type="min"/>
        <cfvo type="percentile" val="50"/>
        <cfvo type="max"/>
        <color rgb="FF63BE7B"/>
        <color rgb="FFFFEB84"/>
        <color rgb="FFF8696B"/>
      </colorScale>
    </cfRule>
  </conditionalFormatting>
  <conditionalFormatting sqref="E15:E16 D20:E21 F20:F22 G20:I21 J20:BA22 J15:BA16 K19:BA19">
    <cfRule type="colorScale" priority="168">
      <colorScale>
        <cfvo type="num" val="0"/>
        <cfvo type="num" val="1"/>
        <color rgb="FF00B050"/>
        <color rgb="FFFF0000"/>
      </colorScale>
    </cfRule>
  </conditionalFormatting>
  <conditionalFormatting sqref="J16:AG16 E16">
    <cfRule type="colorScale" priority="167">
      <colorScale>
        <cfvo type="min"/>
        <cfvo type="percentile" val="50"/>
        <cfvo type="max"/>
        <color rgb="FF63BE7B"/>
        <color rgb="FFFFEB84"/>
        <color rgb="FFF8696B"/>
      </colorScale>
    </cfRule>
  </conditionalFormatting>
  <conditionalFormatting sqref="K19:AG19">
    <cfRule type="colorScale" priority="166">
      <colorScale>
        <cfvo type="min"/>
        <cfvo type="percentile" val="50"/>
        <cfvo type="max"/>
        <color rgb="FF63BE7B"/>
        <color rgb="FFFFEB84"/>
        <color rgb="FFF8696B"/>
      </colorScale>
    </cfRule>
  </conditionalFormatting>
  <conditionalFormatting sqref="D20:E21 F20:F22 J20:AG22 G20:I21">
    <cfRule type="colorScale" priority="165">
      <colorScale>
        <cfvo type="min"/>
        <cfvo type="percentile" val="50"/>
        <cfvo type="max"/>
        <color rgb="FF63BE7B"/>
        <color rgb="FFFFEB84"/>
        <color rgb="FFF8696B"/>
      </colorScale>
    </cfRule>
  </conditionalFormatting>
  <conditionalFormatting sqref="AH15">
    <cfRule type="colorScale" priority="163">
      <colorScale>
        <cfvo type="min"/>
        <cfvo type="percentile" val="50"/>
        <cfvo type="max"/>
        <color rgb="FF63BE7B"/>
        <color rgb="FFFFEB84"/>
        <color rgb="FFF8696B"/>
      </colorScale>
    </cfRule>
  </conditionalFormatting>
  <conditionalFormatting sqref="AH16">
    <cfRule type="colorScale" priority="162">
      <colorScale>
        <cfvo type="min"/>
        <cfvo type="percentile" val="50"/>
        <cfvo type="max"/>
        <color rgb="FF63BE7B"/>
        <color rgb="FFFFEB84"/>
        <color rgb="FFF8696B"/>
      </colorScale>
    </cfRule>
  </conditionalFormatting>
  <conditionalFormatting sqref="AH19">
    <cfRule type="colorScale" priority="161">
      <colorScale>
        <cfvo type="min"/>
        <cfvo type="percentile" val="50"/>
        <cfvo type="max"/>
        <color rgb="FF63BE7B"/>
        <color rgb="FFFFEB84"/>
        <color rgb="FFF8696B"/>
      </colorScale>
    </cfRule>
  </conditionalFormatting>
  <conditionalFormatting sqref="AH20:AH22">
    <cfRule type="colorScale" priority="160">
      <colorScale>
        <cfvo type="min"/>
        <cfvo type="percentile" val="50"/>
        <cfvo type="max"/>
        <color rgb="FF63BE7B"/>
        <color rgb="FFFFEB84"/>
        <color rgb="FFF8696B"/>
      </colorScale>
    </cfRule>
  </conditionalFormatting>
  <conditionalFormatting sqref="AI15">
    <cfRule type="colorScale" priority="159">
      <colorScale>
        <cfvo type="min"/>
        <cfvo type="percentile" val="50"/>
        <cfvo type="max"/>
        <color rgb="FF63BE7B"/>
        <color rgb="FFFFEB84"/>
        <color rgb="FFF8696B"/>
      </colorScale>
    </cfRule>
  </conditionalFormatting>
  <conditionalFormatting sqref="AI16">
    <cfRule type="colorScale" priority="158">
      <colorScale>
        <cfvo type="min"/>
        <cfvo type="percentile" val="50"/>
        <cfvo type="max"/>
        <color rgb="FF63BE7B"/>
        <color rgb="FFFFEB84"/>
        <color rgb="FFF8696B"/>
      </colorScale>
    </cfRule>
  </conditionalFormatting>
  <conditionalFormatting sqref="AI19">
    <cfRule type="colorScale" priority="157">
      <colorScale>
        <cfvo type="min"/>
        <cfvo type="percentile" val="50"/>
        <cfvo type="max"/>
        <color rgb="FF63BE7B"/>
        <color rgb="FFFFEB84"/>
        <color rgb="FFF8696B"/>
      </colorScale>
    </cfRule>
  </conditionalFormatting>
  <conditionalFormatting sqref="AI20:AI22">
    <cfRule type="colorScale" priority="156">
      <colorScale>
        <cfvo type="min"/>
        <cfvo type="percentile" val="50"/>
        <cfvo type="max"/>
        <color rgb="FF63BE7B"/>
        <color rgb="FFFFEB84"/>
        <color rgb="FFF8696B"/>
      </colorScale>
    </cfRule>
  </conditionalFormatting>
  <conditionalFormatting sqref="AJ15">
    <cfRule type="colorScale" priority="155">
      <colorScale>
        <cfvo type="min"/>
        <cfvo type="percentile" val="50"/>
        <cfvo type="max"/>
        <color rgb="FF63BE7B"/>
        <color rgb="FFFFEB84"/>
        <color rgb="FFF8696B"/>
      </colorScale>
    </cfRule>
  </conditionalFormatting>
  <conditionalFormatting sqref="AJ16">
    <cfRule type="colorScale" priority="154">
      <colorScale>
        <cfvo type="min"/>
        <cfvo type="percentile" val="50"/>
        <cfvo type="max"/>
        <color rgb="FF63BE7B"/>
        <color rgb="FFFFEB84"/>
        <color rgb="FFF8696B"/>
      </colorScale>
    </cfRule>
  </conditionalFormatting>
  <conditionalFormatting sqref="AJ19">
    <cfRule type="colorScale" priority="153">
      <colorScale>
        <cfvo type="min"/>
        <cfvo type="percentile" val="50"/>
        <cfvo type="max"/>
        <color rgb="FF63BE7B"/>
        <color rgb="FFFFEB84"/>
        <color rgb="FFF8696B"/>
      </colorScale>
    </cfRule>
  </conditionalFormatting>
  <conditionalFormatting sqref="AJ20:AJ22">
    <cfRule type="colorScale" priority="152">
      <colorScale>
        <cfvo type="min"/>
        <cfvo type="percentile" val="50"/>
        <cfvo type="max"/>
        <color rgb="FF63BE7B"/>
        <color rgb="FFFFEB84"/>
        <color rgb="FFF8696B"/>
      </colorScale>
    </cfRule>
  </conditionalFormatting>
  <conditionalFormatting sqref="AK15">
    <cfRule type="colorScale" priority="151">
      <colorScale>
        <cfvo type="min"/>
        <cfvo type="percentile" val="50"/>
        <cfvo type="max"/>
        <color rgb="FF63BE7B"/>
        <color rgb="FFFFEB84"/>
        <color rgb="FFF8696B"/>
      </colorScale>
    </cfRule>
  </conditionalFormatting>
  <conditionalFormatting sqref="AK16">
    <cfRule type="colorScale" priority="150">
      <colorScale>
        <cfvo type="min"/>
        <cfvo type="percentile" val="50"/>
        <cfvo type="max"/>
        <color rgb="FF63BE7B"/>
        <color rgb="FFFFEB84"/>
        <color rgb="FFF8696B"/>
      </colorScale>
    </cfRule>
  </conditionalFormatting>
  <conditionalFormatting sqref="AK19">
    <cfRule type="colorScale" priority="149">
      <colorScale>
        <cfvo type="min"/>
        <cfvo type="percentile" val="50"/>
        <cfvo type="max"/>
        <color rgb="FF63BE7B"/>
        <color rgb="FFFFEB84"/>
        <color rgb="FFF8696B"/>
      </colorScale>
    </cfRule>
  </conditionalFormatting>
  <conditionalFormatting sqref="AK20:AK22">
    <cfRule type="colorScale" priority="148">
      <colorScale>
        <cfvo type="min"/>
        <cfvo type="percentile" val="50"/>
        <cfvo type="max"/>
        <color rgb="FF63BE7B"/>
        <color rgb="FFFFEB84"/>
        <color rgb="FFF8696B"/>
      </colorScale>
    </cfRule>
  </conditionalFormatting>
  <conditionalFormatting sqref="AL15">
    <cfRule type="colorScale" priority="147">
      <colorScale>
        <cfvo type="min"/>
        <cfvo type="percentile" val="50"/>
        <cfvo type="max"/>
        <color rgb="FF63BE7B"/>
        <color rgb="FFFFEB84"/>
        <color rgb="FFF8696B"/>
      </colorScale>
    </cfRule>
  </conditionalFormatting>
  <conditionalFormatting sqref="AL16">
    <cfRule type="colorScale" priority="146">
      <colorScale>
        <cfvo type="min"/>
        <cfvo type="percentile" val="50"/>
        <cfvo type="max"/>
        <color rgb="FF63BE7B"/>
        <color rgb="FFFFEB84"/>
        <color rgb="FFF8696B"/>
      </colorScale>
    </cfRule>
  </conditionalFormatting>
  <conditionalFormatting sqref="AL19">
    <cfRule type="colorScale" priority="145">
      <colorScale>
        <cfvo type="min"/>
        <cfvo type="percentile" val="50"/>
        <cfvo type="max"/>
        <color rgb="FF63BE7B"/>
        <color rgb="FFFFEB84"/>
        <color rgb="FFF8696B"/>
      </colorScale>
    </cfRule>
  </conditionalFormatting>
  <conditionalFormatting sqref="AL20:AL22">
    <cfRule type="colorScale" priority="144">
      <colorScale>
        <cfvo type="min"/>
        <cfvo type="percentile" val="50"/>
        <cfvo type="max"/>
        <color rgb="FF63BE7B"/>
        <color rgb="FFFFEB84"/>
        <color rgb="FFF8696B"/>
      </colorScale>
    </cfRule>
  </conditionalFormatting>
  <conditionalFormatting sqref="AM15">
    <cfRule type="colorScale" priority="143">
      <colorScale>
        <cfvo type="min"/>
        <cfvo type="percentile" val="50"/>
        <cfvo type="max"/>
        <color rgb="FF63BE7B"/>
        <color rgb="FFFFEB84"/>
        <color rgb="FFF8696B"/>
      </colorScale>
    </cfRule>
  </conditionalFormatting>
  <conditionalFormatting sqref="AM16">
    <cfRule type="colorScale" priority="142">
      <colorScale>
        <cfvo type="min"/>
        <cfvo type="percentile" val="50"/>
        <cfvo type="max"/>
        <color rgb="FF63BE7B"/>
        <color rgb="FFFFEB84"/>
        <color rgb="FFF8696B"/>
      </colorScale>
    </cfRule>
  </conditionalFormatting>
  <conditionalFormatting sqref="AM19">
    <cfRule type="colorScale" priority="141">
      <colorScale>
        <cfvo type="min"/>
        <cfvo type="percentile" val="50"/>
        <cfvo type="max"/>
        <color rgb="FF63BE7B"/>
        <color rgb="FFFFEB84"/>
        <color rgb="FFF8696B"/>
      </colorScale>
    </cfRule>
  </conditionalFormatting>
  <conditionalFormatting sqref="AM20:AM22">
    <cfRule type="colorScale" priority="140">
      <colorScale>
        <cfvo type="min"/>
        <cfvo type="percentile" val="50"/>
        <cfvo type="max"/>
        <color rgb="FF63BE7B"/>
        <color rgb="FFFFEB84"/>
        <color rgb="FFF8696B"/>
      </colorScale>
    </cfRule>
  </conditionalFormatting>
  <conditionalFormatting sqref="AN15">
    <cfRule type="colorScale" priority="139">
      <colorScale>
        <cfvo type="min"/>
        <cfvo type="percentile" val="50"/>
        <cfvo type="max"/>
        <color rgb="FF63BE7B"/>
        <color rgb="FFFFEB84"/>
        <color rgb="FFF8696B"/>
      </colorScale>
    </cfRule>
  </conditionalFormatting>
  <conditionalFormatting sqref="AN16">
    <cfRule type="colorScale" priority="138">
      <colorScale>
        <cfvo type="min"/>
        <cfvo type="percentile" val="50"/>
        <cfvo type="max"/>
        <color rgb="FF63BE7B"/>
        <color rgb="FFFFEB84"/>
        <color rgb="FFF8696B"/>
      </colorScale>
    </cfRule>
  </conditionalFormatting>
  <conditionalFormatting sqref="AN19">
    <cfRule type="colorScale" priority="137">
      <colorScale>
        <cfvo type="min"/>
        <cfvo type="percentile" val="50"/>
        <cfvo type="max"/>
        <color rgb="FF63BE7B"/>
        <color rgb="FFFFEB84"/>
        <color rgb="FFF8696B"/>
      </colorScale>
    </cfRule>
  </conditionalFormatting>
  <conditionalFormatting sqref="AN20:AN22">
    <cfRule type="colorScale" priority="136">
      <colorScale>
        <cfvo type="min"/>
        <cfvo type="percentile" val="50"/>
        <cfvo type="max"/>
        <color rgb="FF63BE7B"/>
        <color rgb="FFFFEB84"/>
        <color rgb="FFF8696B"/>
      </colorScale>
    </cfRule>
  </conditionalFormatting>
  <conditionalFormatting sqref="AO15">
    <cfRule type="colorScale" priority="135">
      <colorScale>
        <cfvo type="min"/>
        <cfvo type="percentile" val="50"/>
        <cfvo type="max"/>
        <color rgb="FF63BE7B"/>
        <color rgb="FFFFEB84"/>
        <color rgb="FFF8696B"/>
      </colorScale>
    </cfRule>
  </conditionalFormatting>
  <conditionalFormatting sqref="AO16">
    <cfRule type="colorScale" priority="134">
      <colorScale>
        <cfvo type="min"/>
        <cfvo type="percentile" val="50"/>
        <cfvo type="max"/>
        <color rgb="FF63BE7B"/>
        <color rgb="FFFFEB84"/>
        <color rgb="FFF8696B"/>
      </colorScale>
    </cfRule>
  </conditionalFormatting>
  <conditionalFormatting sqref="AO19">
    <cfRule type="colorScale" priority="133">
      <colorScale>
        <cfvo type="min"/>
        <cfvo type="percentile" val="50"/>
        <cfvo type="max"/>
        <color rgb="FF63BE7B"/>
        <color rgb="FFFFEB84"/>
        <color rgb="FFF8696B"/>
      </colorScale>
    </cfRule>
  </conditionalFormatting>
  <conditionalFormatting sqref="AO20:AO22">
    <cfRule type="colorScale" priority="132">
      <colorScale>
        <cfvo type="min"/>
        <cfvo type="percentile" val="50"/>
        <cfvo type="max"/>
        <color rgb="FF63BE7B"/>
        <color rgb="FFFFEB84"/>
        <color rgb="FFF8696B"/>
      </colorScale>
    </cfRule>
  </conditionalFormatting>
  <conditionalFormatting sqref="AP15">
    <cfRule type="colorScale" priority="131">
      <colorScale>
        <cfvo type="min"/>
        <cfvo type="percentile" val="50"/>
        <cfvo type="max"/>
        <color rgb="FF63BE7B"/>
        <color rgb="FFFFEB84"/>
        <color rgb="FFF8696B"/>
      </colorScale>
    </cfRule>
  </conditionalFormatting>
  <conditionalFormatting sqref="AP16">
    <cfRule type="colorScale" priority="130">
      <colorScale>
        <cfvo type="min"/>
        <cfvo type="percentile" val="50"/>
        <cfvo type="max"/>
        <color rgb="FF63BE7B"/>
        <color rgb="FFFFEB84"/>
        <color rgb="FFF8696B"/>
      </colorScale>
    </cfRule>
  </conditionalFormatting>
  <conditionalFormatting sqref="AP19">
    <cfRule type="colorScale" priority="129">
      <colorScale>
        <cfvo type="min"/>
        <cfvo type="percentile" val="50"/>
        <cfvo type="max"/>
        <color rgb="FF63BE7B"/>
        <color rgb="FFFFEB84"/>
        <color rgb="FFF8696B"/>
      </colorScale>
    </cfRule>
  </conditionalFormatting>
  <conditionalFormatting sqref="AP20:AP22">
    <cfRule type="colorScale" priority="128">
      <colorScale>
        <cfvo type="min"/>
        <cfvo type="percentile" val="50"/>
        <cfvo type="max"/>
        <color rgb="FF63BE7B"/>
        <color rgb="FFFFEB84"/>
        <color rgb="FFF8696B"/>
      </colorScale>
    </cfRule>
  </conditionalFormatting>
  <conditionalFormatting sqref="AQ15">
    <cfRule type="colorScale" priority="127">
      <colorScale>
        <cfvo type="min"/>
        <cfvo type="percentile" val="50"/>
        <cfvo type="max"/>
        <color rgb="FF63BE7B"/>
        <color rgb="FFFFEB84"/>
        <color rgb="FFF8696B"/>
      </colorScale>
    </cfRule>
  </conditionalFormatting>
  <conditionalFormatting sqref="AQ16">
    <cfRule type="colorScale" priority="126">
      <colorScale>
        <cfvo type="min"/>
        <cfvo type="percentile" val="50"/>
        <cfvo type="max"/>
        <color rgb="FF63BE7B"/>
        <color rgb="FFFFEB84"/>
        <color rgb="FFF8696B"/>
      </colorScale>
    </cfRule>
  </conditionalFormatting>
  <conditionalFormatting sqref="AQ19">
    <cfRule type="colorScale" priority="125">
      <colorScale>
        <cfvo type="min"/>
        <cfvo type="percentile" val="50"/>
        <cfvo type="max"/>
        <color rgb="FF63BE7B"/>
        <color rgb="FFFFEB84"/>
        <color rgb="FFF8696B"/>
      </colorScale>
    </cfRule>
  </conditionalFormatting>
  <conditionalFormatting sqref="AQ20:AQ22">
    <cfRule type="colorScale" priority="124">
      <colorScale>
        <cfvo type="min"/>
        <cfvo type="percentile" val="50"/>
        <cfvo type="max"/>
        <color rgb="FF63BE7B"/>
        <color rgb="FFFFEB84"/>
        <color rgb="FFF8696B"/>
      </colorScale>
    </cfRule>
  </conditionalFormatting>
  <conditionalFormatting sqref="AR15">
    <cfRule type="colorScale" priority="123">
      <colorScale>
        <cfvo type="min"/>
        <cfvo type="percentile" val="50"/>
        <cfvo type="max"/>
        <color rgb="FF63BE7B"/>
        <color rgb="FFFFEB84"/>
        <color rgb="FFF8696B"/>
      </colorScale>
    </cfRule>
  </conditionalFormatting>
  <conditionalFormatting sqref="AR16">
    <cfRule type="colorScale" priority="122">
      <colorScale>
        <cfvo type="min"/>
        <cfvo type="percentile" val="50"/>
        <cfvo type="max"/>
        <color rgb="FF63BE7B"/>
        <color rgb="FFFFEB84"/>
        <color rgb="FFF8696B"/>
      </colorScale>
    </cfRule>
  </conditionalFormatting>
  <conditionalFormatting sqref="AR19">
    <cfRule type="colorScale" priority="121">
      <colorScale>
        <cfvo type="min"/>
        <cfvo type="percentile" val="50"/>
        <cfvo type="max"/>
        <color rgb="FF63BE7B"/>
        <color rgb="FFFFEB84"/>
        <color rgb="FFF8696B"/>
      </colorScale>
    </cfRule>
  </conditionalFormatting>
  <conditionalFormatting sqref="AR20:AR22">
    <cfRule type="colorScale" priority="120">
      <colorScale>
        <cfvo type="min"/>
        <cfvo type="percentile" val="50"/>
        <cfvo type="max"/>
        <color rgb="FF63BE7B"/>
        <color rgb="FFFFEB84"/>
        <color rgb="FFF8696B"/>
      </colorScale>
    </cfRule>
  </conditionalFormatting>
  <conditionalFormatting sqref="AS15">
    <cfRule type="colorScale" priority="119">
      <colorScale>
        <cfvo type="min"/>
        <cfvo type="percentile" val="50"/>
        <cfvo type="max"/>
        <color rgb="FF63BE7B"/>
        <color rgb="FFFFEB84"/>
        <color rgb="FFF8696B"/>
      </colorScale>
    </cfRule>
  </conditionalFormatting>
  <conditionalFormatting sqref="AS16">
    <cfRule type="colorScale" priority="118">
      <colorScale>
        <cfvo type="min"/>
        <cfvo type="percentile" val="50"/>
        <cfvo type="max"/>
        <color rgb="FF63BE7B"/>
        <color rgb="FFFFEB84"/>
        <color rgb="FFF8696B"/>
      </colorScale>
    </cfRule>
  </conditionalFormatting>
  <conditionalFormatting sqref="AS19">
    <cfRule type="colorScale" priority="117">
      <colorScale>
        <cfvo type="min"/>
        <cfvo type="percentile" val="50"/>
        <cfvo type="max"/>
        <color rgb="FF63BE7B"/>
        <color rgb="FFFFEB84"/>
        <color rgb="FFF8696B"/>
      </colorScale>
    </cfRule>
  </conditionalFormatting>
  <conditionalFormatting sqref="AS20:AS22">
    <cfRule type="colorScale" priority="116">
      <colorScale>
        <cfvo type="min"/>
        <cfvo type="percentile" val="50"/>
        <cfvo type="max"/>
        <color rgb="FF63BE7B"/>
        <color rgb="FFFFEB84"/>
        <color rgb="FFF8696B"/>
      </colorScale>
    </cfRule>
  </conditionalFormatting>
  <conditionalFormatting sqref="D20:E21 D23:E23 F20:F23 G20:I21 J20:BA23 K19:BA19">
    <cfRule type="colorScale" priority="115">
      <colorScale>
        <cfvo type="formula" val="0"/>
        <cfvo type="formula" val="1"/>
        <color rgb="FF92D050"/>
        <color rgb="FFFF0000"/>
      </colorScale>
    </cfRule>
  </conditionalFormatting>
  <conditionalFormatting sqref="D20:AG20">
    <cfRule type="colorScale" priority="114">
      <colorScale>
        <cfvo type="min"/>
        <cfvo type="percentile" val="50"/>
        <cfvo type="max"/>
        <color rgb="FF63BE7B"/>
        <color rgb="FFFFEB84"/>
        <color rgb="FFF8696B"/>
      </colorScale>
    </cfRule>
  </conditionalFormatting>
  <conditionalFormatting sqref="AH20">
    <cfRule type="colorScale" priority="113">
      <colorScale>
        <cfvo type="min"/>
        <cfvo type="percentile" val="50"/>
        <cfvo type="max"/>
        <color rgb="FF63BE7B"/>
        <color rgb="FFFFEB84"/>
        <color rgb="FFF8696B"/>
      </colorScale>
    </cfRule>
  </conditionalFormatting>
  <conditionalFormatting sqref="AI20">
    <cfRule type="colorScale" priority="112">
      <colorScale>
        <cfvo type="min"/>
        <cfvo type="percentile" val="50"/>
        <cfvo type="max"/>
        <color rgb="FF63BE7B"/>
        <color rgb="FFFFEB84"/>
        <color rgb="FFF8696B"/>
      </colorScale>
    </cfRule>
  </conditionalFormatting>
  <conditionalFormatting sqref="AJ20">
    <cfRule type="colorScale" priority="111">
      <colorScale>
        <cfvo type="min"/>
        <cfvo type="percentile" val="50"/>
        <cfvo type="max"/>
        <color rgb="FF63BE7B"/>
        <color rgb="FFFFEB84"/>
        <color rgb="FFF8696B"/>
      </colorScale>
    </cfRule>
  </conditionalFormatting>
  <conditionalFormatting sqref="AK20">
    <cfRule type="colorScale" priority="110">
      <colorScale>
        <cfvo type="min"/>
        <cfvo type="percentile" val="50"/>
        <cfvo type="max"/>
        <color rgb="FF63BE7B"/>
        <color rgb="FFFFEB84"/>
        <color rgb="FFF8696B"/>
      </colorScale>
    </cfRule>
  </conditionalFormatting>
  <conditionalFormatting sqref="AL20">
    <cfRule type="colorScale" priority="109">
      <colorScale>
        <cfvo type="min"/>
        <cfvo type="percentile" val="50"/>
        <cfvo type="max"/>
        <color rgb="FF63BE7B"/>
        <color rgb="FFFFEB84"/>
        <color rgb="FFF8696B"/>
      </colorScale>
    </cfRule>
  </conditionalFormatting>
  <conditionalFormatting sqref="AM20">
    <cfRule type="colorScale" priority="108">
      <colorScale>
        <cfvo type="min"/>
        <cfvo type="percentile" val="50"/>
        <cfvo type="max"/>
        <color rgb="FF63BE7B"/>
        <color rgb="FFFFEB84"/>
        <color rgb="FFF8696B"/>
      </colorScale>
    </cfRule>
  </conditionalFormatting>
  <conditionalFormatting sqref="AN20">
    <cfRule type="colorScale" priority="107">
      <colorScale>
        <cfvo type="min"/>
        <cfvo type="percentile" val="50"/>
        <cfvo type="max"/>
        <color rgb="FF63BE7B"/>
        <color rgb="FFFFEB84"/>
        <color rgb="FFF8696B"/>
      </colorScale>
    </cfRule>
  </conditionalFormatting>
  <conditionalFormatting sqref="AO20">
    <cfRule type="colorScale" priority="106">
      <colorScale>
        <cfvo type="min"/>
        <cfvo type="percentile" val="50"/>
        <cfvo type="max"/>
        <color rgb="FF63BE7B"/>
        <color rgb="FFFFEB84"/>
        <color rgb="FFF8696B"/>
      </colorScale>
    </cfRule>
  </conditionalFormatting>
  <conditionalFormatting sqref="AP20">
    <cfRule type="colorScale" priority="105">
      <colorScale>
        <cfvo type="min"/>
        <cfvo type="percentile" val="50"/>
        <cfvo type="max"/>
        <color rgb="FF63BE7B"/>
        <color rgb="FFFFEB84"/>
        <color rgb="FFF8696B"/>
      </colorScale>
    </cfRule>
  </conditionalFormatting>
  <conditionalFormatting sqref="AQ20">
    <cfRule type="colorScale" priority="104">
      <colorScale>
        <cfvo type="min"/>
        <cfvo type="percentile" val="50"/>
        <cfvo type="max"/>
        <color rgb="FF63BE7B"/>
        <color rgb="FFFFEB84"/>
        <color rgb="FFF8696B"/>
      </colorScale>
    </cfRule>
  </conditionalFormatting>
  <conditionalFormatting sqref="AR20">
    <cfRule type="colorScale" priority="103">
      <colorScale>
        <cfvo type="min"/>
        <cfvo type="percentile" val="50"/>
        <cfvo type="max"/>
        <color rgb="FF63BE7B"/>
        <color rgb="FFFFEB84"/>
        <color rgb="FFF8696B"/>
      </colorScale>
    </cfRule>
  </conditionalFormatting>
  <conditionalFormatting sqref="AS20">
    <cfRule type="colorScale" priority="102">
      <colorScale>
        <cfvo type="min"/>
        <cfvo type="percentile" val="50"/>
        <cfvo type="max"/>
        <color rgb="FF63BE7B"/>
        <color rgb="FFFFEB84"/>
        <color rgb="FFF8696B"/>
      </colorScale>
    </cfRule>
  </conditionalFormatting>
  <conditionalFormatting sqref="D21:AG21">
    <cfRule type="colorScale" priority="101">
      <colorScale>
        <cfvo type="min"/>
        <cfvo type="percentile" val="50"/>
        <cfvo type="max"/>
        <color rgb="FF63BE7B"/>
        <color rgb="FFFFEB84"/>
        <color rgb="FFF8696B"/>
      </colorScale>
    </cfRule>
  </conditionalFormatting>
  <conditionalFormatting sqref="AH21">
    <cfRule type="colorScale" priority="100">
      <colorScale>
        <cfvo type="min"/>
        <cfvo type="percentile" val="50"/>
        <cfvo type="max"/>
        <color rgb="FF63BE7B"/>
        <color rgb="FFFFEB84"/>
        <color rgb="FFF8696B"/>
      </colorScale>
    </cfRule>
  </conditionalFormatting>
  <conditionalFormatting sqref="AI21">
    <cfRule type="colorScale" priority="99">
      <colorScale>
        <cfvo type="min"/>
        <cfvo type="percentile" val="50"/>
        <cfvo type="max"/>
        <color rgb="FF63BE7B"/>
        <color rgb="FFFFEB84"/>
        <color rgb="FFF8696B"/>
      </colorScale>
    </cfRule>
  </conditionalFormatting>
  <conditionalFormatting sqref="AJ21">
    <cfRule type="colorScale" priority="98">
      <colorScale>
        <cfvo type="min"/>
        <cfvo type="percentile" val="50"/>
        <cfvo type="max"/>
        <color rgb="FF63BE7B"/>
        <color rgb="FFFFEB84"/>
        <color rgb="FFF8696B"/>
      </colorScale>
    </cfRule>
  </conditionalFormatting>
  <conditionalFormatting sqref="AK21">
    <cfRule type="colorScale" priority="97">
      <colorScale>
        <cfvo type="min"/>
        <cfvo type="percentile" val="50"/>
        <cfvo type="max"/>
        <color rgb="FF63BE7B"/>
        <color rgb="FFFFEB84"/>
        <color rgb="FFF8696B"/>
      </colorScale>
    </cfRule>
  </conditionalFormatting>
  <conditionalFormatting sqref="AL21">
    <cfRule type="colorScale" priority="96">
      <colorScale>
        <cfvo type="min"/>
        <cfvo type="percentile" val="50"/>
        <cfvo type="max"/>
        <color rgb="FF63BE7B"/>
        <color rgb="FFFFEB84"/>
        <color rgb="FFF8696B"/>
      </colorScale>
    </cfRule>
  </conditionalFormatting>
  <conditionalFormatting sqref="AM21">
    <cfRule type="colorScale" priority="95">
      <colorScale>
        <cfvo type="min"/>
        <cfvo type="percentile" val="50"/>
        <cfvo type="max"/>
        <color rgb="FF63BE7B"/>
        <color rgb="FFFFEB84"/>
        <color rgb="FFF8696B"/>
      </colorScale>
    </cfRule>
  </conditionalFormatting>
  <conditionalFormatting sqref="AN21">
    <cfRule type="colorScale" priority="94">
      <colorScale>
        <cfvo type="min"/>
        <cfvo type="percentile" val="50"/>
        <cfvo type="max"/>
        <color rgb="FF63BE7B"/>
        <color rgb="FFFFEB84"/>
        <color rgb="FFF8696B"/>
      </colorScale>
    </cfRule>
  </conditionalFormatting>
  <conditionalFormatting sqref="AO21">
    <cfRule type="colorScale" priority="93">
      <colorScale>
        <cfvo type="min"/>
        <cfvo type="percentile" val="50"/>
        <cfvo type="max"/>
        <color rgb="FF63BE7B"/>
        <color rgb="FFFFEB84"/>
        <color rgb="FFF8696B"/>
      </colorScale>
    </cfRule>
  </conditionalFormatting>
  <conditionalFormatting sqref="AP21">
    <cfRule type="colorScale" priority="92">
      <colorScale>
        <cfvo type="min"/>
        <cfvo type="percentile" val="50"/>
        <cfvo type="max"/>
        <color rgb="FF63BE7B"/>
        <color rgb="FFFFEB84"/>
        <color rgb="FFF8696B"/>
      </colorScale>
    </cfRule>
  </conditionalFormatting>
  <conditionalFormatting sqref="AQ21">
    <cfRule type="colorScale" priority="91">
      <colorScale>
        <cfvo type="min"/>
        <cfvo type="percentile" val="50"/>
        <cfvo type="max"/>
        <color rgb="FF63BE7B"/>
        <color rgb="FFFFEB84"/>
        <color rgb="FFF8696B"/>
      </colorScale>
    </cfRule>
  </conditionalFormatting>
  <conditionalFormatting sqref="AR21">
    <cfRule type="colorScale" priority="90">
      <colorScale>
        <cfvo type="min"/>
        <cfvo type="percentile" val="50"/>
        <cfvo type="max"/>
        <color rgb="FF63BE7B"/>
        <color rgb="FFFFEB84"/>
        <color rgb="FFF8696B"/>
      </colorScale>
    </cfRule>
  </conditionalFormatting>
  <conditionalFormatting sqref="AS21">
    <cfRule type="colorScale" priority="89">
      <colorScale>
        <cfvo type="min"/>
        <cfvo type="percentile" val="50"/>
        <cfvo type="max"/>
        <color rgb="FF63BE7B"/>
        <color rgb="FFFFEB84"/>
        <color rgb="FFF8696B"/>
      </colorScale>
    </cfRule>
  </conditionalFormatting>
  <conditionalFormatting sqref="J22:AG22 F22">
    <cfRule type="colorScale" priority="88">
      <colorScale>
        <cfvo type="min"/>
        <cfvo type="percentile" val="50"/>
        <cfvo type="max"/>
        <color rgb="FF63BE7B"/>
        <color rgb="FFFFEB84"/>
        <color rgb="FFF8696B"/>
      </colorScale>
    </cfRule>
  </conditionalFormatting>
  <conditionalFormatting sqref="AH22">
    <cfRule type="colorScale" priority="87">
      <colorScale>
        <cfvo type="min"/>
        <cfvo type="percentile" val="50"/>
        <cfvo type="max"/>
        <color rgb="FF63BE7B"/>
        <color rgb="FFFFEB84"/>
        <color rgb="FFF8696B"/>
      </colorScale>
    </cfRule>
  </conditionalFormatting>
  <conditionalFormatting sqref="AI22">
    <cfRule type="colorScale" priority="86">
      <colorScale>
        <cfvo type="min"/>
        <cfvo type="percentile" val="50"/>
        <cfvo type="max"/>
        <color rgb="FF63BE7B"/>
        <color rgb="FFFFEB84"/>
        <color rgb="FFF8696B"/>
      </colorScale>
    </cfRule>
  </conditionalFormatting>
  <conditionalFormatting sqref="AJ22">
    <cfRule type="colorScale" priority="85">
      <colorScale>
        <cfvo type="min"/>
        <cfvo type="percentile" val="50"/>
        <cfvo type="max"/>
        <color rgb="FF63BE7B"/>
        <color rgb="FFFFEB84"/>
        <color rgb="FFF8696B"/>
      </colorScale>
    </cfRule>
  </conditionalFormatting>
  <conditionalFormatting sqref="AK22">
    <cfRule type="colorScale" priority="84">
      <colorScale>
        <cfvo type="min"/>
        <cfvo type="percentile" val="50"/>
        <cfvo type="max"/>
        <color rgb="FF63BE7B"/>
        <color rgb="FFFFEB84"/>
        <color rgb="FFF8696B"/>
      </colorScale>
    </cfRule>
  </conditionalFormatting>
  <conditionalFormatting sqref="AL22">
    <cfRule type="colorScale" priority="83">
      <colorScale>
        <cfvo type="min"/>
        <cfvo type="percentile" val="50"/>
        <cfvo type="max"/>
        <color rgb="FF63BE7B"/>
        <color rgb="FFFFEB84"/>
        <color rgb="FFF8696B"/>
      </colorScale>
    </cfRule>
  </conditionalFormatting>
  <conditionalFormatting sqref="AM22">
    <cfRule type="colorScale" priority="82">
      <colorScale>
        <cfvo type="min"/>
        <cfvo type="percentile" val="50"/>
        <cfvo type="max"/>
        <color rgb="FF63BE7B"/>
        <color rgb="FFFFEB84"/>
        <color rgb="FFF8696B"/>
      </colorScale>
    </cfRule>
  </conditionalFormatting>
  <conditionalFormatting sqref="AN22">
    <cfRule type="colorScale" priority="81">
      <colorScale>
        <cfvo type="min"/>
        <cfvo type="percentile" val="50"/>
        <cfvo type="max"/>
        <color rgb="FF63BE7B"/>
        <color rgb="FFFFEB84"/>
        <color rgb="FFF8696B"/>
      </colorScale>
    </cfRule>
  </conditionalFormatting>
  <conditionalFormatting sqref="AO22">
    <cfRule type="colorScale" priority="80">
      <colorScale>
        <cfvo type="min"/>
        <cfvo type="percentile" val="50"/>
        <cfvo type="max"/>
        <color rgb="FF63BE7B"/>
        <color rgb="FFFFEB84"/>
        <color rgb="FFF8696B"/>
      </colorScale>
    </cfRule>
  </conditionalFormatting>
  <conditionalFormatting sqref="AP22">
    <cfRule type="colorScale" priority="79">
      <colorScale>
        <cfvo type="min"/>
        <cfvo type="percentile" val="50"/>
        <cfvo type="max"/>
        <color rgb="FF63BE7B"/>
        <color rgb="FFFFEB84"/>
        <color rgb="FFF8696B"/>
      </colorScale>
    </cfRule>
  </conditionalFormatting>
  <conditionalFormatting sqref="AQ22">
    <cfRule type="colorScale" priority="78">
      <colorScale>
        <cfvo type="min"/>
        <cfvo type="percentile" val="50"/>
        <cfvo type="max"/>
        <color rgb="FF63BE7B"/>
        <color rgb="FFFFEB84"/>
        <color rgb="FFF8696B"/>
      </colorScale>
    </cfRule>
  </conditionalFormatting>
  <conditionalFormatting sqref="AR22">
    <cfRule type="colorScale" priority="77">
      <colorScale>
        <cfvo type="min"/>
        <cfvo type="percentile" val="50"/>
        <cfvo type="max"/>
        <color rgb="FF63BE7B"/>
        <color rgb="FFFFEB84"/>
        <color rgb="FFF8696B"/>
      </colorScale>
    </cfRule>
  </conditionalFormatting>
  <conditionalFormatting sqref="AS22">
    <cfRule type="colorScale" priority="76">
      <colorScale>
        <cfvo type="min"/>
        <cfvo type="percentile" val="50"/>
        <cfvo type="max"/>
        <color rgb="FF63BE7B"/>
        <color rgb="FFFFEB84"/>
        <color rgb="FFF8696B"/>
      </colorScale>
    </cfRule>
  </conditionalFormatting>
  <conditionalFormatting sqref="AT15">
    <cfRule type="colorScale" priority="75">
      <colorScale>
        <cfvo type="min"/>
        <cfvo type="percentile" val="50"/>
        <cfvo type="max"/>
        <color rgb="FF63BE7B"/>
        <color rgb="FFFFEB84"/>
        <color rgb="FFF8696B"/>
      </colorScale>
    </cfRule>
  </conditionalFormatting>
  <conditionalFormatting sqref="AT16">
    <cfRule type="colorScale" priority="74">
      <colorScale>
        <cfvo type="min"/>
        <cfvo type="percentile" val="50"/>
        <cfvo type="max"/>
        <color rgb="FF63BE7B"/>
        <color rgb="FFFFEB84"/>
        <color rgb="FFF8696B"/>
      </colorScale>
    </cfRule>
  </conditionalFormatting>
  <conditionalFormatting sqref="AT19">
    <cfRule type="colorScale" priority="73">
      <colorScale>
        <cfvo type="min"/>
        <cfvo type="percentile" val="50"/>
        <cfvo type="max"/>
        <color rgb="FF63BE7B"/>
        <color rgb="FFFFEB84"/>
        <color rgb="FFF8696B"/>
      </colorScale>
    </cfRule>
  </conditionalFormatting>
  <conditionalFormatting sqref="AT20:AT22">
    <cfRule type="colorScale" priority="72">
      <colorScale>
        <cfvo type="min"/>
        <cfvo type="percentile" val="50"/>
        <cfvo type="max"/>
        <color rgb="FF63BE7B"/>
        <color rgb="FFFFEB84"/>
        <color rgb="FFF8696B"/>
      </colorScale>
    </cfRule>
  </conditionalFormatting>
  <conditionalFormatting sqref="AT20">
    <cfRule type="colorScale" priority="71">
      <colorScale>
        <cfvo type="min"/>
        <cfvo type="percentile" val="50"/>
        <cfvo type="max"/>
        <color rgb="FF63BE7B"/>
        <color rgb="FFFFEB84"/>
        <color rgb="FFF8696B"/>
      </colorScale>
    </cfRule>
  </conditionalFormatting>
  <conditionalFormatting sqref="AT21">
    <cfRule type="colorScale" priority="70">
      <colorScale>
        <cfvo type="min"/>
        <cfvo type="percentile" val="50"/>
        <cfvo type="max"/>
        <color rgb="FF63BE7B"/>
        <color rgb="FFFFEB84"/>
        <color rgb="FFF8696B"/>
      </colorScale>
    </cfRule>
  </conditionalFormatting>
  <conditionalFormatting sqref="AT22">
    <cfRule type="colorScale" priority="69">
      <colorScale>
        <cfvo type="min"/>
        <cfvo type="percentile" val="50"/>
        <cfvo type="max"/>
        <color rgb="FF63BE7B"/>
        <color rgb="FFFFEB84"/>
        <color rgb="FFF8696B"/>
      </colorScale>
    </cfRule>
  </conditionalFormatting>
  <conditionalFormatting sqref="AU15">
    <cfRule type="colorScale" priority="68">
      <colorScale>
        <cfvo type="min"/>
        <cfvo type="percentile" val="50"/>
        <cfvo type="max"/>
        <color rgb="FF63BE7B"/>
        <color rgb="FFFFEB84"/>
        <color rgb="FFF8696B"/>
      </colorScale>
    </cfRule>
  </conditionalFormatting>
  <conditionalFormatting sqref="AU16">
    <cfRule type="colorScale" priority="67">
      <colorScale>
        <cfvo type="min"/>
        <cfvo type="percentile" val="50"/>
        <cfvo type="max"/>
        <color rgb="FF63BE7B"/>
        <color rgb="FFFFEB84"/>
        <color rgb="FFF8696B"/>
      </colorScale>
    </cfRule>
  </conditionalFormatting>
  <conditionalFormatting sqref="AU19">
    <cfRule type="colorScale" priority="66">
      <colorScale>
        <cfvo type="min"/>
        <cfvo type="percentile" val="50"/>
        <cfvo type="max"/>
        <color rgb="FF63BE7B"/>
        <color rgb="FFFFEB84"/>
        <color rgb="FFF8696B"/>
      </colorScale>
    </cfRule>
  </conditionalFormatting>
  <conditionalFormatting sqref="AU20:AU22">
    <cfRule type="colorScale" priority="65">
      <colorScale>
        <cfvo type="min"/>
        <cfvo type="percentile" val="50"/>
        <cfvo type="max"/>
        <color rgb="FF63BE7B"/>
        <color rgb="FFFFEB84"/>
        <color rgb="FFF8696B"/>
      </colorScale>
    </cfRule>
  </conditionalFormatting>
  <conditionalFormatting sqref="AU20">
    <cfRule type="colorScale" priority="64">
      <colorScale>
        <cfvo type="min"/>
        <cfvo type="percentile" val="50"/>
        <cfvo type="max"/>
        <color rgb="FF63BE7B"/>
        <color rgb="FFFFEB84"/>
        <color rgb="FFF8696B"/>
      </colorScale>
    </cfRule>
  </conditionalFormatting>
  <conditionalFormatting sqref="AU21">
    <cfRule type="colorScale" priority="63">
      <colorScale>
        <cfvo type="min"/>
        <cfvo type="percentile" val="50"/>
        <cfvo type="max"/>
        <color rgb="FF63BE7B"/>
        <color rgb="FFFFEB84"/>
        <color rgb="FFF8696B"/>
      </colorScale>
    </cfRule>
  </conditionalFormatting>
  <conditionalFormatting sqref="AU22">
    <cfRule type="colorScale" priority="62">
      <colorScale>
        <cfvo type="min"/>
        <cfvo type="percentile" val="50"/>
        <cfvo type="max"/>
        <color rgb="FF63BE7B"/>
        <color rgb="FFFFEB84"/>
        <color rgb="FFF8696B"/>
      </colorScale>
    </cfRule>
  </conditionalFormatting>
  <conditionalFormatting sqref="AV15">
    <cfRule type="colorScale" priority="61">
      <colorScale>
        <cfvo type="min"/>
        <cfvo type="percentile" val="50"/>
        <cfvo type="max"/>
        <color rgb="FF63BE7B"/>
        <color rgb="FFFFEB84"/>
        <color rgb="FFF8696B"/>
      </colorScale>
    </cfRule>
  </conditionalFormatting>
  <conditionalFormatting sqref="AV16">
    <cfRule type="colorScale" priority="60">
      <colorScale>
        <cfvo type="min"/>
        <cfvo type="percentile" val="50"/>
        <cfvo type="max"/>
        <color rgb="FF63BE7B"/>
        <color rgb="FFFFEB84"/>
        <color rgb="FFF8696B"/>
      </colorScale>
    </cfRule>
  </conditionalFormatting>
  <conditionalFormatting sqref="AV19">
    <cfRule type="colorScale" priority="59">
      <colorScale>
        <cfvo type="min"/>
        <cfvo type="percentile" val="50"/>
        <cfvo type="max"/>
        <color rgb="FF63BE7B"/>
        <color rgb="FFFFEB84"/>
        <color rgb="FFF8696B"/>
      </colorScale>
    </cfRule>
  </conditionalFormatting>
  <conditionalFormatting sqref="AV20:AV22">
    <cfRule type="colorScale" priority="58">
      <colorScale>
        <cfvo type="min"/>
        <cfvo type="percentile" val="50"/>
        <cfvo type="max"/>
        <color rgb="FF63BE7B"/>
        <color rgb="FFFFEB84"/>
        <color rgb="FFF8696B"/>
      </colorScale>
    </cfRule>
  </conditionalFormatting>
  <conditionalFormatting sqref="AV20">
    <cfRule type="colorScale" priority="57">
      <colorScale>
        <cfvo type="min"/>
        <cfvo type="percentile" val="50"/>
        <cfvo type="max"/>
        <color rgb="FF63BE7B"/>
        <color rgb="FFFFEB84"/>
        <color rgb="FFF8696B"/>
      </colorScale>
    </cfRule>
  </conditionalFormatting>
  <conditionalFormatting sqref="AV21">
    <cfRule type="colorScale" priority="56">
      <colorScale>
        <cfvo type="min"/>
        <cfvo type="percentile" val="50"/>
        <cfvo type="max"/>
        <color rgb="FF63BE7B"/>
        <color rgb="FFFFEB84"/>
        <color rgb="FFF8696B"/>
      </colorScale>
    </cfRule>
  </conditionalFormatting>
  <conditionalFormatting sqref="AV22">
    <cfRule type="colorScale" priority="55">
      <colorScale>
        <cfvo type="min"/>
        <cfvo type="percentile" val="50"/>
        <cfvo type="max"/>
        <color rgb="FF63BE7B"/>
        <color rgb="FFFFEB84"/>
        <color rgb="FFF8696B"/>
      </colorScale>
    </cfRule>
  </conditionalFormatting>
  <conditionalFormatting sqref="AW15">
    <cfRule type="colorScale" priority="54">
      <colorScale>
        <cfvo type="min"/>
        <cfvo type="percentile" val="50"/>
        <cfvo type="max"/>
        <color rgb="FF63BE7B"/>
        <color rgb="FFFFEB84"/>
        <color rgb="FFF8696B"/>
      </colorScale>
    </cfRule>
  </conditionalFormatting>
  <conditionalFormatting sqref="AW16">
    <cfRule type="colorScale" priority="53">
      <colorScale>
        <cfvo type="min"/>
        <cfvo type="percentile" val="50"/>
        <cfvo type="max"/>
        <color rgb="FF63BE7B"/>
        <color rgb="FFFFEB84"/>
        <color rgb="FFF8696B"/>
      </colorScale>
    </cfRule>
  </conditionalFormatting>
  <conditionalFormatting sqref="AW19">
    <cfRule type="colorScale" priority="52">
      <colorScale>
        <cfvo type="min"/>
        <cfvo type="percentile" val="50"/>
        <cfvo type="max"/>
        <color rgb="FF63BE7B"/>
        <color rgb="FFFFEB84"/>
        <color rgb="FFF8696B"/>
      </colorScale>
    </cfRule>
  </conditionalFormatting>
  <conditionalFormatting sqref="AW20:AW22">
    <cfRule type="colorScale" priority="51">
      <colorScale>
        <cfvo type="min"/>
        <cfvo type="percentile" val="50"/>
        <cfvo type="max"/>
        <color rgb="FF63BE7B"/>
        <color rgb="FFFFEB84"/>
        <color rgb="FFF8696B"/>
      </colorScale>
    </cfRule>
  </conditionalFormatting>
  <conditionalFormatting sqref="AW20">
    <cfRule type="colorScale" priority="50">
      <colorScale>
        <cfvo type="min"/>
        <cfvo type="percentile" val="50"/>
        <cfvo type="max"/>
        <color rgb="FF63BE7B"/>
        <color rgb="FFFFEB84"/>
        <color rgb="FFF8696B"/>
      </colorScale>
    </cfRule>
  </conditionalFormatting>
  <conditionalFormatting sqref="AW21">
    <cfRule type="colorScale" priority="49">
      <colorScale>
        <cfvo type="min"/>
        <cfvo type="percentile" val="50"/>
        <cfvo type="max"/>
        <color rgb="FF63BE7B"/>
        <color rgb="FFFFEB84"/>
        <color rgb="FFF8696B"/>
      </colorScale>
    </cfRule>
  </conditionalFormatting>
  <conditionalFormatting sqref="AW22">
    <cfRule type="colorScale" priority="48">
      <colorScale>
        <cfvo type="min"/>
        <cfvo type="percentile" val="50"/>
        <cfvo type="max"/>
        <color rgb="FF63BE7B"/>
        <color rgb="FFFFEB84"/>
        <color rgb="FFF8696B"/>
      </colorScale>
    </cfRule>
  </conditionalFormatting>
  <conditionalFormatting sqref="AX15">
    <cfRule type="colorScale" priority="47">
      <colorScale>
        <cfvo type="min"/>
        <cfvo type="percentile" val="50"/>
        <cfvo type="max"/>
        <color rgb="FF63BE7B"/>
        <color rgb="FFFFEB84"/>
        <color rgb="FFF8696B"/>
      </colorScale>
    </cfRule>
  </conditionalFormatting>
  <conditionalFormatting sqref="AX16">
    <cfRule type="colorScale" priority="46">
      <colorScale>
        <cfvo type="min"/>
        <cfvo type="percentile" val="50"/>
        <cfvo type="max"/>
        <color rgb="FF63BE7B"/>
        <color rgb="FFFFEB84"/>
        <color rgb="FFF8696B"/>
      </colorScale>
    </cfRule>
  </conditionalFormatting>
  <conditionalFormatting sqref="AX19">
    <cfRule type="colorScale" priority="45">
      <colorScale>
        <cfvo type="min"/>
        <cfvo type="percentile" val="50"/>
        <cfvo type="max"/>
        <color rgb="FF63BE7B"/>
        <color rgb="FFFFEB84"/>
        <color rgb="FFF8696B"/>
      </colorScale>
    </cfRule>
  </conditionalFormatting>
  <conditionalFormatting sqref="AX20:AX22">
    <cfRule type="colorScale" priority="44">
      <colorScale>
        <cfvo type="min"/>
        <cfvo type="percentile" val="50"/>
        <cfvo type="max"/>
        <color rgb="FF63BE7B"/>
        <color rgb="FFFFEB84"/>
        <color rgb="FFF8696B"/>
      </colorScale>
    </cfRule>
  </conditionalFormatting>
  <conditionalFormatting sqref="AX20">
    <cfRule type="colorScale" priority="43">
      <colorScale>
        <cfvo type="min"/>
        <cfvo type="percentile" val="50"/>
        <cfvo type="max"/>
        <color rgb="FF63BE7B"/>
        <color rgb="FFFFEB84"/>
        <color rgb="FFF8696B"/>
      </colorScale>
    </cfRule>
  </conditionalFormatting>
  <conditionalFormatting sqref="AX21">
    <cfRule type="colorScale" priority="42">
      <colorScale>
        <cfvo type="min"/>
        <cfvo type="percentile" val="50"/>
        <cfvo type="max"/>
        <color rgb="FF63BE7B"/>
        <color rgb="FFFFEB84"/>
        <color rgb="FFF8696B"/>
      </colorScale>
    </cfRule>
  </conditionalFormatting>
  <conditionalFormatting sqref="AX22">
    <cfRule type="colorScale" priority="41">
      <colorScale>
        <cfvo type="min"/>
        <cfvo type="percentile" val="50"/>
        <cfvo type="max"/>
        <color rgb="FF63BE7B"/>
        <color rgb="FFFFEB84"/>
        <color rgb="FFF8696B"/>
      </colorScale>
    </cfRule>
  </conditionalFormatting>
  <conditionalFormatting sqref="AY15">
    <cfRule type="colorScale" priority="40">
      <colorScale>
        <cfvo type="min"/>
        <cfvo type="percentile" val="50"/>
        <cfvo type="max"/>
        <color rgb="FF63BE7B"/>
        <color rgb="FFFFEB84"/>
        <color rgb="FFF8696B"/>
      </colorScale>
    </cfRule>
  </conditionalFormatting>
  <conditionalFormatting sqref="AY16">
    <cfRule type="colorScale" priority="39">
      <colorScale>
        <cfvo type="min"/>
        <cfvo type="percentile" val="50"/>
        <cfvo type="max"/>
        <color rgb="FF63BE7B"/>
        <color rgb="FFFFEB84"/>
        <color rgb="FFF8696B"/>
      </colorScale>
    </cfRule>
  </conditionalFormatting>
  <conditionalFormatting sqref="AY19">
    <cfRule type="colorScale" priority="38">
      <colorScale>
        <cfvo type="min"/>
        <cfvo type="percentile" val="50"/>
        <cfvo type="max"/>
        <color rgb="FF63BE7B"/>
        <color rgb="FFFFEB84"/>
        <color rgb="FFF8696B"/>
      </colorScale>
    </cfRule>
  </conditionalFormatting>
  <conditionalFormatting sqref="AY20:AY22">
    <cfRule type="colorScale" priority="37">
      <colorScale>
        <cfvo type="min"/>
        <cfvo type="percentile" val="50"/>
        <cfvo type="max"/>
        <color rgb="FF63BE7B"/>
        <color rgb="FFFFEB84"/>
        <color rgb="FFF8696B"/>
      </colorScale>
    </cfRule>
  </conditionalFormatting>
  <conditionalFormatting sqref="AY20">
    <cfRule type="colorScale" priority="36">
      <colorScale>
        <cfvo type="min"/>
        <cfvo type="percentile" val="50"/>
        <cfvo type="max"/>
        <color rgb="FF63BE7B"/>
        <color rgb="FFFFEB84"/>
        <color rgb="FFF8696B"/>
      </colorScale>
    </cfRule>
  </conditionalFormatting>
  <conditionalFormatting sqref="AY21">
    <cfRule type="colorScale" priority="35">
      <colorScale>
        <cfvo type="min"/>
        <cfvo type="percentile" val="50"/>
        <cfvo type="max"/>
        <color rgb="FF63BE7B"/>
        <color rgb="FFFFEB84"/>
        <color rgb="FFF8696B"/>
      </colorScale>
    </cfRule>
  </conditionalFormatting>
  <conditionalFormatting sqref="AY22">
    <cfRule type="colorScale" priority="34">
      <colorScale>
        <cfvo type="min"/>
        <cfvo type="percentile" val="50"/>
        <cfvo type="max"/>
        <color rgb="FF63BE7B"/>
        <color rgb="FFFFEB84"/>
        <color rgb="FFF8696B"/>
      </colorScale>
    </cfRule>
  </conditionalFormatting>
  <conditionalFormatting sqref="AZ15">
    <cfRule type="colorScale" priority="33">
      <colorScale>
        <cfvo type="min"/>
        <cfvo type="percentile" val="50"/>
        <cfvo type="max"/>
        <color rgb="FF63BE7B"/>
        <color rgb="FFFFEB84"/>
        <color rgb="FFF8696B"/>
      </colorScale>
    </cfRule>
  </conditionalFormatting>
  <conditionalFormatting sqref="AZ16">
    <cfRule type="colorScale" priority="32">
      <colorScale>
        <cfvo type="min"/>
        <cfvo type="percentile" val="50"/>
        <cfvo type="max"/>
        <color rgb="FF63BE7B"/>
        <color rgb="FFFFEB84"/>
        <color rgb="FFF8696B"/>
      </colorScale>
    </cfRule>
  </conditionalFormatting>
  <conditionalFormatting sqref="AZ19">
    <cfRule type="colorScale" priority="31">
      <colorScale>
        <cfvo type="min"/>
        <cfvo type="percentile" val="50"/>
        <cfvo type="max"/>
        <color rgb="FF63BE7B"/>
        <color rgb="FFFFEB84"/>
        <color rgb="FFF8696B"/>
      </colorScale>
    </cfRule>
  </conditionalFormatting>
  <conditionalFormatting sqref="AZ20:AZ22">
    <cfRule type="colorScale" priority="30">
      <colorScale>
        <cfvo type="min"/>
        <cfvo type="percentile" val="50"/>
        <cfvo type="max"/>
        <color rgb="FF63BE7B"/>
        <color rgb="FFFFEB84"/>
        <color rgb="FFF8696B"/>
      </colorScale>
    </cfRule>
  </conditionalFormatting>
  <conditionalFormatting sqref="AZ20">
    <cfRule type="colorScale" priority="29">
      <colorScale>
        <cfvo type="min"/>
        <cfvo type="percentile" val="50"/>
        <cfvo type="max"/>
        <color rgb="FF63BE7B"/>
        <color rgb="FFFFEB84"/>
        <color rgb="FFF8696B"/>
      </colorScale>
    </cfRule>
  </conditionalFormatting>
  <conditionalFormatting sqref="AZ21">
    <cfRule type="colorScale" priority="28">
      <colorScale>
        <cfvo type="min"/>
        <cfvo type="percentile" val="50"/>
        <cfvo type="max"/>
        <color rgb="FF63BE7B"/>
        <color rgb="FFFFEB84"/>
        <color rgb="FFF8696B"/>
      </colorScale>
    </cfRule>
  </conditionalFormatting>
  <conditionalFormatting sqref="AZ22">
    <cfRule type="colorScale" priority="27">
      <colorScale>
        <cfvo type="min"/>
        <cfvo type="percentile" val="50"/>
        <cfvo type="max"/>
        <color rgb="FF63BE7B"/>
        <color rgb="FFFFEB84"/>
        <color rgb="FFF8696B"/>
      </colorScale>
    </cfRule>
  </conditionalFormatting>
  <conditionalFormatting sqref="BA15">
    <cfRule type="colorScale" priority="26">
      <colorScale>
        <cfvo type="min"/>
        <cfvo type="percentile" val="50"/>
        <cfvo type="max"/>
        <color rgb="FF63BE7B"/>
        <color rgb="FFFFEB84"/>
        <color rgb="FFF8696B"/>
      </colorScale>
    </cfRule>
  </conditionalFormatting>
  <conditionalFormatting sqref="BA16">
    <cfRule type="colorScale" priority="25">
      <colorScale>
        <cfvo type="min"/>
        <cfvo type="percentile" val="50"/>
        <cfvo type="max"/>
        <color rgb="FF63BE7B"/>
        <color rgb="FFFFEB84"/>
        <color rgb="FFF8696B"/>
      </colorScale>
    </cfRule>
  </conditionalFormatting>
  <conditionalFormatting sqref="BA19">
    <cfRule type="colorScale" priority="24">
      <colorScale>
        <cfvo type="min"/>
        <cfvo type="percentile" val="50"/>
        <cfvo type="max"/>
        <color rgb="FF63BE7B"/>
        <color rgb="FFFFEB84"/>
        <color rgb="FFF8696B"/>
      </colorScale>
    </cfRule>
  </conditionalFormatting>
  <conditionalFormatting sqref="BA20:BA22">
    <cfRule type="colorScale" priority="23">
      <colorScale>
        <cfvo type="min"/>
        <cfvo type="percentile" val="50"/>
        <cfvo type="max"/>
        <color rgb="FF63BE7B"/>
        <color rgb="FFFFEB84"/>
        <color rgb="FFF8696B"/>
      </colorScale>
    </cfRule>
  </conditionalFormatting>
  <conditionalFormatting sqref="BA20">
    <cfRule type="colorScale" priority="22">
      <colorScale>
        <cfvo type="min"/>
        <cfvo type="percentile" val="50"/>
        <cfvo type="max"/>
        <color rgb="FF63BE7B"/>
        <color rgb="FFFFEB84"/>
        <color rgb="FFF8696B"/>
      </colorScale>
    </cfRule>
  </conditionalFormatting>
  <conditionalFormatting sqref="BA21">
    <cfRule type="colorScale" priority="21">
      <colorScale>
        <cfvo type="min"/>
        <cfvo type="percentile" val="50"/>
        <cfvo type="max"/>
        <color rgb="FF63BE7B"/>
        <color rgb="FFFFEB84"/>
        <color rgb="FFF8696B"/>
      </colorScale>
    </cfRule>
  </conditionalFormatting>
  <conditionalFormatting sqref="BA22">
    <cfRule type="colorScale" priority="20">
      <colorScale>
        <cfvo type="min"/>
        <cfvo type="percentile" val="50"/>
        <cfvo type="max"/>
        <color rgb="FF63BE7B"/>
        <color rgb="FFFFEB84"/>
        <color rgb="FFF8696B"/>
      </colorScale>
    </cfRule>
  </conditionalFormatting>
  <conditionalFormatting sqref="D4">
    <cfRule type="cellIs" dxfId="1" priority="19" stopIfTrue="1" operator="lessThan">
      <formula>0</formula>
    </cfRule>
  </conditionalFormatting>
  <conditionalFormatting sqref="I8:K13">
    <cfRule type="colorScale" priority="17">
      <colorScale>
        <cfvo type="min"/>
        <cfvo type="percentile" val="50"/>
        <cfvo type="max"/>
        <color rgb="FF63BE7B"/>
        <color rgb="FFFFEB84"/>
        <color rgb="FFF8696B"/>
      </colorScale>
    </cfRule>
  </conditionalFormatting>
  <conditionalFormatting sqref="U8:W13">
    <cfRule type="colorScale" priority="12">
      <colorScale>
        <cfvo type="min"/>
        <cfvo type="percentile" val="50"/>
        <cfvo type="max"/>
        <color rgb="FF63BE7B"/>
        <color rgb="FFFFEB84"/>
        <color rgb="FFF8696B"/>
      </colorScale>
    </cfRule>
  </conditionalFormatting>
  <conditionalFormatting sqref="U9:U13 V8:W13">
    <cfRule type="colorScale" priority="11">
      <colorScale>
        <cfvo type="min"/>
        <cfvo type="percentile" val="50"/>
        <cfvo type="max"/>
        <color rgb="FF63BE7B"/>
        <color rgb="FFFFEB84"/>
        <color rgb="FFF8696B"/>
      </colorScale>
    </cfRule>
  </conditionalFormatting>
  <conditionalFormatting sqref="U8:U13">
    <cfRule type="colorScale" priority="10">
      <colorScale>
        <cfvo type="min"/>
        <cfvo type="percentile" val="50"/>
        <cfvo type="max"/>
        <color rgb="FF63BE7B"/>
        <color rgb="FFFFEB84"/>
        <color rgb="FFF8696B"/>
      </colorScale>
    </cfRule>
  </conditionalFormatting>
  <conditionalFormatting sqref="J8:K13">
    <cfRule type="colorScale" priority="9">
      <colorScale>
        <cfvo type="min"/>
        <cfvo type="percentile" val="50"/>
        <cfvo type="max"/>
        <color rgb="FFF8696B"/>
        <color rgb="FFFFEB84"/>
        <color rgb="FF63BE7B"/>
      </colorScale>
    </cfRule>
  </conditionalFormatting>
  <conditionalFormatting sqref="F15:I18">
    <cfRule type="colorScale" priority="6">
      <colorScale>
        <cfvo type="num" val="0"/>
        <cfvo type="num" val="1"/>
        <color rgb="FF00B050"/>
        <color rgb="FFFF0000"/>
      </colorScale>
    </cfRule>
  </conditionalFormatting>
  <conditionalFormatting sqref="C46:C51">
    <cfRule type="cellIs" dxfId="0" priority="4" stopIfTrue="1" operator="lessThan">
      <formula>0</formula>
    </cfRule>
  </conditionalFormatting>
  <conditionalFormatting sqref="F15:I18">
    <cfRule type="colorScale" priority="177">
      <colorScale>
        <cfvo type="min"/>
        <cfvo type="percentile" val="50"/>
        <cfvo type="max"/>
        <color rgb="FF63BE7B"/>
        <color rgb="FFFFEB84"/>
        <color rgb="FFF8696B"/>
      </colorScale>
    </cfRule>
  </conditionalFormatting>
  <conditionalFormatting sqref="D3 D5">
    <cfRule type="colorScale" priority="184">
      <colorScale>
        <cfvo type="min"/>
        <cfvo type="percentile" val="50"/>
        <cfvo type="max"/>
        <color rgb="FF63BE7B"/>
        <color rgb="FFFFEB84"/>
        <color rgb="FFF8696B"/>
      </colorScale>
    </cfRule>
  </conditionalFormatting>
  <conditionalFormatting sqref="D46:D51">
    <cfRule type="colorScale" priority="185">
      <colorScale>
        <cfvo type="min"/>
        <cfvo type="percentile" val="50"/>
        <cfvo type="max"/>
        <color rgb="FF63BE7B"/>
        <color rgb="FFFFEB84"/>
        <color rgb="FFF8696B"/>
      </colorScale>
    </cfRule>
  </conditionalFormatting>
  <dataValidations count="2">
    <dataValidation allowBlank="1" showInputMessage="1" showErrorMessage="1" prompt="يرجى العلم أن هذه الأرقام تبالغ في تقدير التأثير حيث أنها تفترض أن جميع البنوك تخسر تمويل في ذات الوقت" sqref="D16"/>
    <dataValidation allowBlank="1" showInputMessage="1" showErrorMessage="1" prompt="عدد المصارف التي لم تجتز اختبار الملاءة المالية بسبب صدمة التمويل_x000a_" sqref="E7"/>
  </dataValidations>
  <pageMargins left="0.70866141732283472" right="0.15748031496062992" top="0.74803149606299213" bottom="0.74803149606299213" header="0.31496062992125984" footer="0.31496062992125984"/>
  <pageSetup scale="47" fitToHeight="0" orientation="landscape" r:id="rId1"/>
  <headerFooter>
    <oddHeader xml:space="preserve">&amp;C&amp;"Sakkal Majalla,Regular"&amp;10مجلس الخدمات المالية الإسلامية 2017 ©
هذه الوثيقة هي جزء من الملاحظة الفنية رقم 2 (الملاحظة الفنية حول اختبارات الضغط للمؤسسات التي تقدم خدمات مالية إسلامية)، ديسمبر 2016
</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1-Method_Liqudity</vt:lpstr>
      <vt:lpstr>2-Input - IIFS Liqudity</vt:lpstr>
      <vt:lpstr>3-Assumptions</vt:lpstr>
      <vt:lpstr>4- ICFA &amp; LCR&amp; MMA&amp;NSFR</vt:lpstr>
      <vt:lpstr>5-Calculation</vt:lpstr>
      <vt:lpstr>6-Summary</vt:lpstr>
      <vt:lpstr>'2-Input - IIFS Liqudity'!_ftn1</vt:lpstr>
      <vt:lpstr>'2-Input - IIFS Liqudity'!_ftnref1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Liquidity Stress Test for IIFS</dc:title>
  <dc:creator/>
  <cp:lastModifiedBy/>
  <dcterms:created xsi:type="dcterms:W3CDTF">2006-09-16T00:00:00Z</dcterms:created>
  <dcterms:modified xsi:type="dcterms:W3CDTF">2017-09-06T08:17:16Z</dcterms:modified>
</cp:coreProperties>
</file>